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AD3" i="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AD50" i="3"/>
  <c r="AD51" i="3"/>
  <c r="AD52" i="3"/>
  <c r="AD53" i="3"/>
  <c r="AD54" i="3"/>
  <c r="AD55" i="3"/>
  <c r="AD56" i="3"/>
  <c r="AD57" i="3"/>
  <c r="AD58" i="3"/>
  <c r="AD59" i="3"/>
  <c r="AD60" i="3"/>
  <c r="AD61" i="3"/>
  <c r="C2" i="6"/>
  <c r="C3" i="6"/>
  <c r="C4" i="6"/>
  <c r="C5" i="6"/>
  <c r="C6" i="6"/>
  <c r="C7" i="6"/>
  <c r="C8" i="6"/>
  <c r="C9" i="6"/>
  <c r="C10" i="6"/>
  <c r="C11" i="6"/>
  <c r="C12" i="6"/>
  <c r="C13" i="6"/>
  <c r="C14" i="6"/>
  <c r="C15" i="6"/>
  <c r="C16" i="6"/>
  <c r="C17" i="6"/>
  <c r="C18"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57" i="7"/>
  <c r="T2" i="7"/>
  <c r="B98" i="7" l="1"/>
  <c r="B112" i="7"/>
  <c r="B154" i="7"/>
  <c r="B126"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<sst xmlns="http://schemas.openxmlformats.org/spreadsheetml/2006/main" count="364" uniqueCount="220">
  <si>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</si>
  <si>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</si>
  <si>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</si>
  <si>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</si>
  <si>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</si>
  <si>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</si>
  <si>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</si>
  <si>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</si>
  <si>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</si>
  <si>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</si>
  <si>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</si>
  <si>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</si>
  <si>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</si>
  <si>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</si>
  <si>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</si>
  <si>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</si>
  <si>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</si>
  <si>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</si>
  <si>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</si>
  <si>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</si>
  <si>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</si>
  <si>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</si>
  <si>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</si>
  <si>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</si>
  <si>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</si>
  <si>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</si>
  <si>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</si>
  <si>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</si>
  <si>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</si>
  <si>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</si>
  <si>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</si>
  <si>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</si>
  <si>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</si>
  <si>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</si>
  <si>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</si>
  <si>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</si>
  <si>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</si>
  <si>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</si>
  <si>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</si>
  <si>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</si>
  <si>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</si>
  <si>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</si>
  <si>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</si>
  <si>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</si>
  <si>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</si>
  <si>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</si>
  <si>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</si>
  <si>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</si>
  <si>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</si>
  <si>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</si>
  <si>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</si>
  <si>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</si>
  <si>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</si>
  <si>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</si>
  <si>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</si>
  <si>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</si>
  <si>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</si>
  <si>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</si>
  <si>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</si>
  <si>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</si>
  <si>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</si>
  <si>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</si>
  <si>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</si>
  <si>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</si>
  <si>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</si>
  <si>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</si>
  <si>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</si>
  <si>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</si>
  <si>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</si>
  <si>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</si>
  <si>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</si>
  <si>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</si>
  <si>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</si>
  <si>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</si>
  <si>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</si>
  <si>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</si>
  <si>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</si>
  <si>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</si>
  <si>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</si>
  <si>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</si>
  <si>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</si>
  <si>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</si>
  <si>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</si>
  <si>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</si>
  <si>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</si>
  <si>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</si>
  <si>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</si>
  <si>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</si>
  <si>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</si>
  <si>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</si>
  <si>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</si>
  <si>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</si>
  <si>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</si>
  <si>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</si>
  <si>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</si>
  <si>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</si>
  <si>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</si>
  <si>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</si>
  <si>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</si>
  <si>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</si>
  <si>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</si>
  <si>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</si>
  <si>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</si>
  <si>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</si>
  <si>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</si>
  <si>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</si>
  <si>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</si>
  <si>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</si>
  <si>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</si>
  <si>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</si>
  <si>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</si>
  <si>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</si>
  <si>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</si>
  <si>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</si>
  <si>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</si>
  <si>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</si>
  <si>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</si>
  <si>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</si>
  <si>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</si>
  <si>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</si>
  <si>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</si>
  <si>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</si>
  <si>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</si>
  <si>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</si>
  <si>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</si>
  <si>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</si>
  <si>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</si>
  <si>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</si>
  <si>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</si>
  <si>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</si>
  <si>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</si>
  <si>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</si>
  <si>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</si>
  <si>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</si>
  <si>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</si>
  <si>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</si>
  <si>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</si>
  <si>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</si>
  <si>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</si>
  <si>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</si>
  <si>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</si>
  <si>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</si>
  <si>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</si>
  <si>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</si>
  <si>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</si>
  <si>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</si>
  <si>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</si>
  <si>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</si>
  <si>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</si>
  <si>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</si>
  <si>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</si>
  <si>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</si>
  <si>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</si>
  <si>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</si>
  <si>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</si>
  <si>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</si>
  <si>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</si>
  <si>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</si>
  <si>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</si>
  <si>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</si>
  <si>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</si>
  <si>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</si>
  <si>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</si>
  <si>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</si>
  <si>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</si>
  <si>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</si>
  <si>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</si>
  <si>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</si>
  <si>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</si>
  <si>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</si>
  <si>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</si>
  <si>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</si>
  <si>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</si>
  <si>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</si>
  <si>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</si>
  <si>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EDGE WEIGHT</t>
  </si>
  <si>
    <t>Autofill Workbook Results</t>
  </si>
  <si>
    <t>Graph History</t>
  </si>
  <si>
    <t>Workbook Settings 2</t>
  </si>
  <si>
    <t>Graph Type</t>
  </si>
  <si>
    <t>Modularity</t>
  </si>
  <si>
    <t>NodeXL Version</t>
  </si>
  <si>
    <t>Not Applicable</t>
  </si>
  <si>
    <t>1.0.1.413</t>
  </si>
  <si>
    <t>G1</t>
  </si>
  <si>
    <t>G2</t>
  </si>
  <si>
    <t>G3</t>
  </si>
  <si>
    <t>G4</t>
  </si>
  <si>
    <t>0, 12, 96</t>
  </si>
  <si>
    <t>0, 136, 227</t>
  </si>
  <si>
    <t>0, 100, 50</t>
  </si>
  <si>
    <t>0, 176, 22</t>
  </si>
  <si>
    <t>Vertex Group</t>
  </si>
  <si>
    <t>Vertex 1 Group</t>
  </si>
  <si>
    <t>Vertex 2 Group</t>
  </si>
  <si>
    <t>Column1</t>
  </si>
  <si>
    <t>Group 1</t>
  </si>
  <si>
    <t>Group 2</t>
  </si>
  <si>
    <t>Edges</t>
  </si>
  <si>
    <t>▓0▓0▓0▓True▓Black▓Black▓▓EDGE WEIGHT▓1▓10▓0▓1▓10▓False▓▓0▓0▓0▓0▓0▓False▓▓0▓0▓0▓True▓Black▓Black▓▓Degree▓1▓7▓0▓1.5▓10▓False▓▓0▓0▓0▓0▓0▓False▓▓0▓0▓0▓0▓0▓False▓▓0▓0▓0▓0▓0▓False</t>
  </si>
  <si>
    <t>Australia</t>
  </si>
  <si>
    <t>New Zealand</t>
  </si>
  <si>
    <t>Belgium</t>
  </si>
  <si>
    <t>Canada</t>
  </si>
  <si>
    <t>Italy</t>
  </si>
  <si>
    <t>Chile</t>
  </si>
  <si>
    <t>Spain</t>
  </si>
  <si>
    <t>Cyprus</t>
  </si>
  <si>
    <t>United Kingdom</t>
  </si>
  <si>
    <t>Greece</t>
  </si>
  <si>
    <t>Japan</t>
  </si>
  <si>
    <t>Hong Kong</t>
  </si>
  <si>
    <t>South Korea</t>
  </si>
  <si>
    <t>United States</t>
  </si>
  <si>
    <t>India</t>
  </si>
  <si>
    <t>Netherlands</t>
  </si>
  <si>
    <t>Taiwan</t>
  </si>
  <si>
    <t>LayoutAlgorithm░The graph was laid out using the Spiral layout algorithm.▓GraphDirectedness░The graph is undirected.▓GroupingDescription░The graph's vertices were grouped by connected component.</t>
  </si>
  <si>
    <t>&lt;?xml version="1.0" encoding="utf-8"?&gt;_x000D_
&lt;configuration&gt;_x000D_
  &lt;configSections&gt;_x000D_
    &lt;sectionGroup name="userSettings" type="System.Configuration.UserSettingsGroup, System, Version=2.0.0.0, Culture=neutral, PublicKeyToken=b77a5c561934e089"&gt;_x000D_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name="LayoutUserSettings"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&lt;LayoutUserSettings&gt;_x000D_
      &lt;setting name="Layout" serializeAs="String"&gt;_x000D_
        &lt;value&gt;Spiral&lt;/value&gt;_x000D_
      &lt;/setting&gt;_x000D_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&lt;value&gt;Normal&lt;/value&gt;_x000D_
      &lt;/setting&gt;_x000D_
      &lt;setting name="GroupRectanglePenWidth" serializeAs="String"&gt;_x000D_
        &lt;value&gt;1&lt;/value&gt;_x000D_
      &lt;/setting&gt;_x000D_
      &lt;setting name="Margin" serializeAs="String"&gt;_x000D_
        &lt;value&gt;6&lt;/value&gt;_x000D_
      &lt;/setting&gt;_x000D_
    &lt;/LayoutUserSettings&gt;_x000D_
    &lt;AutoFillUserSettings3&gt;_x000D_
      &lt;setting name="VertexColorDetails" serializeAs="String"&gt;_x000D_
        &lt;value&gt;False	False	0	10	241, 137, 4	46, 7, 195	False	False	True&lt;/value&gt;_x000D_
      &lt;/setting&gt;_x000D_
      &lt;setting name="EdgeLabelSourceColumnName" serializeAs="String"&gt;_x000D_
        &lt;value /&gt;_x000D_
      &lt;/setting&gt;_x000D_
      &lt;setting name="VertexXSourceColumnName" serializeAs="String"&gt;_x000D_
        &lt;value /&gt;_x000D_
      &lt;/setting&gt;_x000D_
      &lt;setting name="VertexLayoutOrderSourceColumnName" serializeAs="String"&gt;_x000D_
        &lt;value /&gt;_x000D_
      &lt;/setting&gt;_x000D_
      &lt;setting name="VertexRadiusSourceColumnName" serializeAs="String"&gt;_x000D_
        &lt;value&gt;Degree&lt;/value&gt;_x000D_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name="VertexShapeSourceColumnName" serializeAs="String"&gt;_x000D_
        &lt;value /&gt;_x000D_
      &lt;/setting&gt;_x000D_
      &lt;setting name="VertexPolarRSourceColumnName" serializeAs="String"&gt;_x000D_
        &lt;value /&gt;_x000D_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name="VertexLabelFillColorSourceColu</t>
  </si>
  <si>
    <t>mnName" serializeAs="String"&gt;_x000D_
        &lt;value /&gt;_x000D_
      &lt;/setting&gt;_x000D_
      &lt;setting name="GroupCollapsedSourceColumnName" serializeAs="String"&gt;_x000D_
        &lt;value /&gt;_x000D_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name="VertexAlphaSourceColumnName" serializeAs="String"&gt;_x000D_
        &lt;value /&gt;_x000D_
      &lt;/setting&gt;_x000D_
      &lt;setting name="VertexVisibilitySourceColumnName" serializeAs="String"&gt;_x000D_
        &lt;value /&gt;_x000D_
      &lt;/setting&gt;_x000D_
      &lt;setting name="VertexLabelSourceColumnName" serializeAs="String"&gt;_x000D_
        &lt;value /&gt;_x000D_
      &lt;/setting&gt;_x000D_
      &lt;setting name="VertexToolTipSourceColumnName" serializeAs="String"&gt;_x000D_
        &lt;value /&gt;_x000D_
      &lt;/setting&gt;_x000D_
      &lt;setting name="EdgeWidthSourceColumnName" serializeAs="String"&gt;_x000D_
        &lt;value&gt;EDGE WEIGHT&lt;/value&gt;_x000D_
      &lt;/setting&gt;_x000D_
      &lt;setting name="EdgeAlphaSourceColumnName" serializeAs="String"&gt;_x000D_
        &lt;value /&gt;_x000D_
      &lt;/setting&gt;_x000D_
      &lt;setting name="VertexPolarAngleSourceColumnName" serializeAs="String"&gt;_x000D_
        &lt;value /&gt;_x000D_
      &lt;/setting&gt;_x000D_
      &lt;setting name="EdgeStyleSourceColumnName" serializeAs="String"&gt;_x000D_
        &lt;value /&gt;_x000D_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name="VertexYSourceColumnName" serializeAs="String"&gt;_x000D_
        &lt;value /&gt;_x000D_
      &lt;/setting&gt;_x000D_
      &lt;setting name="EdgeVisibilitySourceColumnName" serializeAs="String"&gt;_x000D_
        &lt;value /&gt;_x000D_
      &lt;/setting&gt;_x000D_
      &lt;setting name="VertexRadiusDetails" serializeAs="String"&gt;_x000D_
        &lt;value&gt;False	False	1	10	1.5	10	False	False&lt;/value&gt;_x000D_
      &lt;/setting&gt;_x000D_
      &lt;setting name="EdgeColorSourceColumnName" serializeAs="String"&gt;_x000D_
        &lt;value /&gt;_x000D_
      &lt;/setting&gt;_x000D_
      &lt;setting name="VertexXDetails" serializeAs="String"&gt;_x000D_
        &lt;value&gt;False	False	0	0	0	9999	False	False&lt;/value&gt;_x000D_
      &lt;/setting&gt;_x000D_
      &lt;setting name="GroupLabelSourceColumnName" serializeAs="String"&gt;_x000D_
        &lt;value /&gt;_x000D_
      &lt;/setting&gt;_x000D_
      &lt;setting name="VertexColorSourceColumnName" serializeAs="String"&gt;_x000D_
        &lt;value /&gt;_x000D_
      &lt;/setting&gt;_x000D_
      &lt;setting name="EdgeAlphaDetails" serializeAs="String"&gt;_x000D_
        &lt;value&gt;False	False	0	100	10	100	False	False&lt;/value&gt;_x000D_
      &lt;/setting&gt;_x000D_
      &lt;setting name="VertexLabelPositionSourceColumnName" serializeAs="String"&gt;_x000D_
        &lt;value /&gt;_x000D_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</si>
</sst>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5">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30">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165" fontId="0" fillId="0" borderId="0" xfId="0" applyNumberFormat="1"/>
    <xf numFmtId="166" fontId="0" fillId="0" borderId="0" xfId="0" applyNumberFormat="1"/>
    <xf numFmtId="166" fontId="0" fillId="0" borderId="7" xfId="0" applyNumberFormat="1" applyBorder="1"/>
    <xf numFmtId="1" fontId="10" fillId="0" borderId="2" xfId="0" applyNumberFormat="1" applyFont="1" applyBorder="1" applyAlignment="1"/>
    <xf numFmtId="1" fontId="10" fillId="0" borderId="7" xfId="0" applyNumberFormat="1" applyFont="1" applyBorder="1" applyAlignment="1"/>
    <xf numFmtId="167" fontId="0" fillId="0" borderId="2" xfId="0" applyNumberFormat="1" applyBorder="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0" applyNumberFormat="1" applyFont="1" applyAlignment="1">
      <alignment wrapText="1"/>
    </xf>
    <xf numFmtId="0" fontId="0" fillId="0" borderId="0" xfId="0" applyNumberFormat="1" applyFill="1" applyAlignment="1"/>
    <xf numFmtId="49" fontId="0" fillId="0" borderId="13"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0" fontId="0" fillId="5" borderId="0" xfId="4" applyNumberFormat="1" applyFont="1" applyBorder="1" applyAlignment="1">
      <alignment wrapText="1"/>
    </xf>
    <xf numFmtId="0" fontId="0" fillId="0" borderId="13" xfId="0" applyBorder="1"/>
    <xf numFmtId="0" fontId="0" fillId="0" borderId="0" xfId="3" applyFont="1" applyAlignment="1"/>
    <xf numFmtId="0" fontId="0" fillId="0" borderId="0" xfId="3" applyFont="1" applyAlignment="1">
      <alignment wrapText="1"/>
    </xf>
    <xf numFmtId="0" fontId="5" fillId="4" borderId="1" xfId="5" applyNumberFormat="1" applyAlignment="1">
      <alignment wrapText="1"/>
    </xf>
    <xf numFmtId="0" fontId="0" fillId="0" borderId="7" xfId="0" applyNumberFormat="1" applyBorder="1"/>
    <xf numFmtId="49" fontId="0" fillId="0" borderId="0" xfId="0" applyNumberFormat="1" applyBorder="1"/>
    <xf numFmtId="49" fontId="0" fillId="0" borderId="7" xfId="3" applyNumberFormat="1" applyFont="1" applyBorder="1" applyAlignment="1"/>
    <xf numFmtId="0" fontId="0" fillId="0" borderId="1" xfId="0" applyNumberFormat="1" applyBorder="1"/>
    <xf numFmtId="166" fontId="0" fillId="0" borderId="0" xfId="0" applyNumberFormat="1" applyBorder="1"/>
    <xf numFmtId="0" fontId="0" fillId="0" borderId="7" xfId="0" applyBorder="1"/>
    <xf numFmtId="1" fontId="10" fillId="0" borderId="0" xfId="0" applyNumberFormat="1" applyFont="1" applyBorder="1" applyAlignment="1"/>
    <xf numFmtId="0" fontId="0" fillId="0" borderId="2" xfId="0" applyBorder="1"/>
    <xf numFmtId="167" fontId="0" fillId="0" borderId="0" xfId="0" applyNumberFormat="1" applyBorder="1" applyAlignment="1"/>
    <xf numFmtId="0" fontId="0" fillId="0" borderId="7" xfId="3" applyFont="1" applyBorder="1" applyAlignment="1"/>
    <xf numFmtId="0" fontId="0" fillId="0" borderId="0" xfId="3" applyFont="1" applyBorder="1" applyAlignment="1"/>
    <xf numFmtId="0" fontId="0" fillId="0" borderId="2" xfId="0" applyNumberFormat="1" applyFont="1" applyBorder="1"/>
    <xf numFmtId="0" fontId="0" fillId="0" borderId="0" xfId="0" applyNumberFormat="1" applyFont="1" applyBorder="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5">
    <dxf>
      <alignment horizontal="general" vertical="bottom" textRotation="0" wrapText="0" indent="0" justifyLastLine="0" shrinkToFit="0" readingOrder="0"/>
    </dxf>
    <dxf>
      <alignment horizontal="general" vertical="bottom" textRotation="0" wrapText="0" indent="0" justifyLastLine="0" shrinkToFit="0" readingOrder="0"/>
      <border outline="0">
        <left/>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dxf>
    <dxf>
      <numFmt numFmtId="0" formatCode="General"/>
    </dxf>
    <dxf>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numFmt numFmtId="166" formatCode="#,##0.000"/>
      <border outline="0">
        <right style="thin">
          <color theme="0"/>
        </right>
      </border>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4"/>
      <tableStyleElement type="headerRow" dxfId="103"/>
    </tableStyle>
    <tableStyle name="NodeXL Table" pivot="0" count="1">
      <tableStyleElement type="headerRow" dxfId="10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10</c:v>
                </c:pt>
              </c:strCache>
            </c:strRef>
          </c:tx>
          <c:spPr>
            <a:solidFill>
              <a:schemeClr val="accent1"/>
            </a:solidFill>
          </c:spPr>
          <c:invertIfNegative val="0"/>
          <c:cat>
            <c:numRef>
              <c:f>'Overall Metrics'!$D$2:$D$57</c:f>
              <c:numCache>
                <c:formatCode>#,##0.00</c:formatCode>
                <c:ptCount val="56"/>
                <c:pt idx="0">
                  <c:v>1</c:v>
                </c:pt>
                <c:pt idx="1">
                  <c:v>1.1090909090909091</c:v>
                </c:pt>
                <c:pt idx="2">
                  <c:v>1.2181818181818183</c:v>
                </c:pt>
                <c:pt idx="3">
                  <c:v>1.3272727272727274</c:v>
                </c:pt>
                <c:pt idx="4">
                  <c:v>1.4363636363636365</c:v>
                </c:pt>
                <c:pt idx="5">
                  <c:v>1.5454545454545456</c:v>
                </c:pt>
                <c:pt idx="6">
                  <c:v>1.6545454545454548</c:v>
                </c:pt>
                <c:pt idx="7">
                  <c:v>1.7636363636363639</c:v>
                </c:pt>
                <c:pt idx="8">
                  <c:v>1.872727272727273</c:v>
                </c:pt>
                <c:pt idx="9">
                  <c:v>1.9818181818181821</c:v>
                </c:pt>
                <c:pt idx="10">
                  <c:v>2.0909090909090913</c:v>
                </c:pt>
                <c:pt idx="11">
                  <c:v>2.2000000000000002</c:v>
                </c:pt>
                <c:pt idx="12">
                  <c:v>2.3090909090909091</c:v>
                </c:pt>
                <c:pt idx="13">
                  <c:v>2.418181818181818</c:v>
                </c:pt>
                <c:pt idx="14">
                  <c:v>2.5272727272727269</c:v>
                </c:pt>
                <c:pt idx="15">
                  <c:v>2.6363636363636358</c:v>
                </c:pt>
                <c:pt idx="16">
                  <c:v>2.7454545454545447</c:v>
                </c:pt>
                <c:pt idx="17">
                  <c:v>2.8545454545454536</c:v>
                </c:pt>
                <c:pt idx="18">
                  <c:v>2.9636363636363625</c:v>
                </c:pt>
                <c:pt idx="19">
                  <c:v>3.0727272727272714</c:v>
                </c:pt>
                <c:pt idx="20">
                  <c:v>3.1818181818181803</c:v>
                </c:pt>
                <c:pt idx="21">
                  <c:v>3.2909090909090892</c:v>
                </c:pt>
                <c:pt idx="22">
                  <c:v>3.3999999999999981</c:v>
                </c:pt>
                <c:pt idx="23">
                  <c:v>3.509090909090907</c:v>
                </c:pt>
                <c:pt idx="24">
                  <c:v>3.6181818181818159</c:v>
                </c:pt>
                <c:pt idx="26">
                  <c:v>3.7272727272727249</c:v>
                </c:pt>
                <c:pt idx="38">
                  <c:v>3.8363636363636338</c:v>
                </c:pt>
                <c:pt idx="39">
                  <c:v>3.9454545454545427</c:v>
                </c:pt>
                <c:pt idx="40">
                  <c:v>4.054545454545452</c:v>
                </c:pt>
                <c:pt idx="41">
                  <c:v>4.1636363636363614</c:v>
                </c:pt>
                <c:pt idx="42">
                  <c:v>4.2727272727272707</c:v>
                </c:pt>
                <c:pt idx="43">
                  <c:v>4.3818181818181801</c:v>
                </c:pt>
                <c:pt idx="44">
                  <c:v>4.4909090909090894</c:v>
                </c:pt>
                <c:pt idx="45">
                  <c:v>4.5999999999999988</c:v>
                </c:pt>
                <c:pt idx="46">
                  <c:v>4.7090909090909081</c:v>
                </c:pt>
                <c:pt idx="47">
                  <c:v>4.8181818181818175</c:v>
                </c:pt>
                <c:pt idx="48">
                  <c:v>4.9272727272727268</c:v>
                </c:pt>
                <c:pt idx="49">
                  <c:v>5.0363636363636362</c:v>
                </c:pt>
                <c:pt idx="50">
                  <c:v>5.1454545454545455</c:v>
                </c:pt>
                <c:pt idx="51">
                  <c:v>5.2545454545454549</c:v>
                </c:pt>
                <c:pt idx="52">
                  <c:v>5.3636363636363642</c:v>
                </c:pt>
                <c:pt idx="53">
                  <c:v>5.4727272727272736</c:v>
                </c:pt>
                <c:pt idx="54">
                  <c:v>5.5818181818181829</c:v>
                </c:pt>
                <c:pt idx="55">
                  <c:v>7</c:v>
                </c:pt>
              </c:numCache>
            </c:numRef>
          </c:cat>
          <c:val>
            <c:numRef>
              <c:f>'Overall Metrics'!$E$2:$E$57</c:f>
              <c:numCache>
                <c:formatCode>General</c:formatCode>
                <c:ptCount val="56"/>
                <c:pt idx="0">
                  <c:v>10</c:v>
                </c:pt>
                <c:pt idx="1">
                  <c:v>0</c:v>
                </c:pt>
                <c:pt idx="2">
                  <c:v>0</c:v>
                </c:pt>
                <c:pt idx="3">
                  <c:v>0</c:v>
                </c:pt>
                <c:pt idx="4">
                  <c:v>0</c:v>
                </c:pt>
                <c:pt idx="5">
                  <c:v>0</c:v>
                </c:pt>
                <c:pt idx="6">
                  <c:v>0</c:v>
                </c:pt>
                <c:pt idx="7">
                  <c:v>0</c:v>
                </c:pt>
                <c:pt idx="8">
                  <c:v>0</c:v>
                </c:pt>
                <c:pt idx="9">
                  <c:v>3</c:v>
                </c:pt>
                <c:pt idx="10">
                  <c:v>0</c:v>
                </c:pt>
                <c:pt idx="11">
                  <c:v>0</c:v>
                </c:pt>
                <c:pt idx="12">
                  <c:v>0</c:v>
                </c:pt>
                <c:pt idx="13">
                  <c:v>0</c:v>
                </c:pt>
                <c:pt idx="14">
                  <c:v>0</c:v>
                </c:pt>
                <c:pt idx="15">
                  <c:v>0</c:v>
                </c:pt>
                <c:pt idx="16">
                  <c:v>0</c:v>
                </c:pt>
                <c:pt idx="17">
                  <c:v>0</c:v>
                </c:pt>
                <c:pt idx="18">
                  <c:v>3</c:v>
                </c:pt>
                <c:pt idx="19">
                  <c:v>0</c:v>
                </c:pt>
                <c:pt idx="20">
                  <c:v>0</c:v>
                </c:pt>
                <c:pt idx="21">
                  <c:v>0</c:v>
                </c:pt>
                <c:pt idx="22">
                  <c:v>0</c:v>
                </c:pt>
                <c:pt idx="23">
                  <c:v>0</c:v>
                </c:pt>
                <c:pt idx="24">
                  <c:v>0</c:v>
                </c:pt>
                <c:pt idx="25">
                  <c:v>-1</c:v>
                </c:pt>
                <c:pt idx="26">
                  <c:v>0</c:v>
                </c:pt>
                <c:pt idx="27">
                  <c:v>0</c:v>
                </c:pt>
                <c:pt idx="28">
                  <c:v>0</c:v>
                </c:pt>
                <c:pt idx="29">
                  <c:v>0</c:v>
                </c:pt>
                <c:pt idx="30">
                  <c:v>0</c:v>
                </c:pt>
                <c:pt idx="31">
                  <c:v>0</c:v>
                </c:pt>
                <c:pt idx="32">
                  <c:v>0</c:v>
                </c:pt>
                <c:pt idx="33">
                  <c:v>0</c:v>
                </c:pt>
                <c:pt idx="34">
                  <c:v>0</c:v>
                </c:pt>
                <c:pt idx="35">
                  <c:v>0</c:v>
                </c:pt>
                <c:pt idx="36">
                  <c:v>-1</c:v>
                </c:pt>
                <c:pt idx="37">
                  <c:v>-1</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E966-445E-938D-26400565F1E7}"/>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B22F-4A26-8136-48E7A6F1E57C}"/>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6A59-4798-8CBE-E37742389CB1}"/>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13</c:v>
                </c:pt>
              </c:strCache>
            </c:strRef>
          </c:tx>
          <c:spPr>
            <a:solidFill>
              <a:schemeClr val="accent1"/>
            </a:solidFill>
          </c:spPr>
          <c:invertIfNegative val="0"/>
          <c:cat>
            <c:numRef>
              <c:f>'Overall Metrics'!$J$2:$J$57</c:f>
              <c:numCache>
                <c:formatCode>#,##0.00</c:formatCode>
                <c:ptCount val="56"/>
                <c:pt idx="0">
                  <c:v>0</c:v>
                </c:pt>
                <c:pt idx="1">
                  <c:v>0.43636363636363634</c:v>
                </c:pt>
                <c:pt idx="2">
                  <c:v>0.87272727272727268</c:v>
                </c:pt>
                <c:pt idx="3">
                  <c:v>1.3090909090909091</c:v>
                </c:pt>
                <c:pt idx="4">
                  <c:v>1.7454545454545454</c:v>
                </c:pt>
                <c:pt idx="5">
                  <c:v>2.1818181818181817</c:v>
                </c:pt>
                <c:pt idx="6">
                  <c:v>2.6181818181818182</c:v>
                </c:pt>
                <c:pt idx="7">
                  <c:v>3.0545454545454547</c:v>
                </c:pt>
                <c:pt idx="8">
                  <c:v>3.4909090909090912</c:v>
                </c:pt>
                <c:pt idx="9">
                  <c:v>3.9272727272727277</c:v>
                </c:pt>
                <c:pt idx="10">
                  <c:v>4.3636363636363642</c:v>
                </c:pt>
                <c:pt idx="11">
                  <c:v>4.8000000000000007</c:v>
                </c:pt>
                <c:pt idx="12">
                  <c:v>5.2363636363636372</c:v>
                </c:pt>
                <c:pt idx="13">
                  <c:v>5.6727272727272737</c:v>
                </c:pt>
                <c:pt idx="14">
                  <c:v>6.1090909090909102</c:v>
                </c:pt>
                <c:pt idx="15">
                  <c:v>6.5454545454545467</c:v>
                </c:pt>
                <c:pt idx="16">
                  <c:v>6.9818181818181833</c:v>
                </c:pt>
                <c:pt idx="17">
                  <c:v>7.4181818181818198</c:v>
                </c:pt>
                <c:pt idx="18">
                  <c:v>7.8545454545454563</c:v>
                </c:pt>
                <c:pt idx="19">
                  <c:v>8.2909090909090928</c:v>
                </c:pt>
                <c:pt idx="20">
                  <c:v>8.7272727272727284</c:v>
                </c:pt>
                <c:pt idx="21">
                  <c:v>9.163636363636364</c:v>
                </c:pt>
                <c:pt idx="22">
                  <c:v>9.6</c:v>
                </c:pt>
                <c:pt idx="23">
                  <c:v>10.036363636363635</c:v>
                </c:pt>
                <c:pt idx="24">
                  <c:v>10.472727272727271</c:v>
                </c:pt>
                <c:pt idx="26">
                  <c:v>10.909090909090907</c:v>
                </c:pt>
                <c:pt idx="38">
                  <c:v>11.345454545454542</c:v>
                </c:pt>
                <c:pt idx="39">
                  <c:v>11.781818181818178</c:v>
                </c:pt>
                <c:pt idx="40">
                  <c:v>12.218181818181813</c:v>
                </c:pt>
                <c:pt idx="41">
                  <c:v>12.654545454545449</c:v>
                </c:pt>
                <c:pt idx="42">
                  <c:v>13.090909090909085</c:v>
                </c:pt>
                <c:pt idx="43">
                  <c:v>13.52727272727272</c:v>
                </c:pt>
                <c:pt idx="44">
                  <c:v>13.963636363636356</c:v>
                </c:pt>
                <c:pt idx="45">
                  <c:v>14.399999999999991</c:v>
                </c:pt>
                <c:pt idx="46">
                  <c:v>14.836363636363627</c:v>
                </c:pt>
                <c:pt idx="47">
                  <c:v>15.272727272727263</c:v>
                </c:pt>
                <c:pt idx="48">
                  <c:v>15.709090909090898</c:v>
                </c:pt>
                <c:pt idx="49">
                  <c:v>16.145454545454534</c:v>
                </c:pt>
                <c:pt idx="50">
                  <c:v>16.581818181818171</c:v>
                </c:pt>
                <c:pt idx="51">
                  <c:v>17.018181818181809</c:v>
                </c:pt>
                <c:pt idx="52">
                  <c:v>17.454545454545446</c:v>
                </c:pt>
                <c:pt idx="53">
                  <c:v>17.890909090909084</c:v>
                </c:pt>
                <c:pt idx="54">
                  <c:v>18.327272727272721</c:v>
                </c:pt>
                <c:pt idx="55">
                  <c:v>24</c:v>
                </c:pt>
              </c:numCache>
            </c:numRef>
          </c:cat>
          <c:val>
            <c:numRef>
              <c:f>'Overall Metrics'!$K$2:$K$57</c:f>
              <c:numCache>
                <c:formatCode>General</c:formatCode>
                <c:ptCount val="56"/>
                <c:pt idx="0">
                  <c:v>13</c:v>
                </c:pt>
                <c:pt idx="1">
                  <c:v>0</c:v>
                </c:pt>
                <c:pt idx="2">
                  <c:v>0</c:v>
                </c:pt>
                <c:pt idx="3">
                  <c:v>0</c:v>
                </c:pt>
                <c:pt idx="4">
                  <c:v>2</c:v>
                </c:pt>
                <c:pt idx="5">
                  <c:v>0</c:v>
                </c:pt>
                <c:pt idx="6">
                  <c:v>0</c:v>
                </c:pt>
                <c:pt idx="7">
                  <c:v>0</c:v>
                </c:pt>
                <c:pt idx="8">
                  <c:v>0</c:v>
                </c:pt>
                <c:pt idx="9">
                  <c:v>0</c:v>
                </c:pt>
                <c:pt idx="10">
                  <c:v>0</c:v>
                </c:pt>
                <c:pt idx="11">
                  <c:v>0</c:v>
                </c:pt>
                <c:pt idx="12">
                  <c:v>0</c:v>
                </c:pt>
                <c:pt idx="13">
                  <c:v>0</c:v>
                </c:pt>
                <c:pt idx="14">
                  <c:v>0</c:v>
                </c:pt>
                <c:pt idx="15">
                  <c:v>0</c:v>
                </c:pt>
                <c:pt idx="16">
                  <c:v>1</c:v>
                </c:pt>
                <c:pt idx="17">
                  <c:v>0</c:v>
                </c:pt>
                <c:pt idx="18">
                  <c:v>0</c:v>
                </c:pt>
                <c:pt idx="19">
                  <c:v>0</c:v>
                </c:pt>
                <c:pt idx="20">
                  <c:v>0</c:v>
                </c:pt>
                <c:pt idx="21">
                  <c:v>0</c:v>
                </c:pt>
                <c:pt idx="22">
                  <c:v>0</c:v>
                </c:pt>
                <c:pt idx="23">
                  <c:v>0</c:v>
                </c:pt>
                <c:pt idx="24">
                  <c:v>0</c:v>
                </c:pt>
                <c:pt idx="25">
                  <c:v>-1</c:v>
                </c:pt>
                <c:pt idx="26">
                  <c:v>0</c:v>
                </c:pt>
                <c:pt idx="27">
                  <c:v>0</c:v>
                </c:pt>
                <c:pt idx="28">
                  <c:v>0</c:v>
                </c:pt>
                <c:pt idx="29">
                  <c:v>0</c:v>
                </c:pt>
                <c:pt idx="30">
                  <c:v>0</c:v>
                </c:pt>
                <c:pt idx="31">
                  <c:v>0</c:v>
                </c:pt>
                <c:pt idx="32">
                  <c:v>0</c:v>
                </c:pt>
                <c:pt idx="33">
                  <c:v>0</c:v>
                </c:pt>
                <c:pt idx="34">
                  <c:v>0</c:v>
                </c:pt>
                <c:pt idx="35">
                  <c:v>0</c:v>
                </c:pt>
                <c:pt idx="36">
                  <c:v>-1</c:v>
                </c:pt>
                <c:pt idx="37">
                  <c:v>-1</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2D7B-482F-9E62-8727F3B175C0}"/>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4</c:v>
                </c:pt>
              </c:strCache>
            </c:strRef>
          </c:tx>
          <c:spPr>
            <a:solidFill>
              <a:schemeClr val="accent1"/>
            </a:solidFill>
          </c:spPr>
          <c:invertIfNegative val="0"/>
          <c:cat>
            <c:numRef>
              <c:f>'Overall Metrics'!$L$2:$L$57</c:f>
              <c:numCache>
                <c:formatCode>#,##0.00</c:formatCode>
                <c:ptCount val="56"/>
                <c:pt idx="0">
                  <c:v>4.7619000000000002E-2</c:v>
                </c:pt>
                <c:pt idx="1">
                  <c:v>6.4935018181818183E-2</c:v>
                </c:pt>
                <c:pt idx="2">
                  <c:v>8.2251036363636371E-2</c:v>
                </c:pt>
                <c:pt idx="3">
                  <c:v>9.9567054545454559E-2</c:v>
                </c:pt>
                <c:pt idx="4">
                  <c:v>0.11688307272727275</c:v>
                </c:pt>
                <c:pt idx="5">
                  <c:v>0.13419909090909093</c:v>
                </c:pt>
                <c:pt idx="6">
                  <c:v>0.15151510909090912</c:v>
                </c:pt>
                <c:pt idx="7">
                  <c:v>0.16883112727272731</c:v>
                </c:pt>
                <c:pt idx="8">
                  <c:v>0.1861471454545455</c:v>
                </c:pt>
                <c:pt idx="9">
                  <c:v>0.20346316363636369</c:v>
                </c:pt>
                <c:pt idx="10">
                  <c:v>0.22077918181818187</c:v>
                </c:pt>
                <c:pt idx="11">
                  <c:v>0.23809520000000006</c:v>
                </c:pt>
                <c:pt idx="12">
                  <c:v>0.25541121818181822</c:v>
                </c:pt>
                <c:pt idx="13">
                  <c:v>0.27272723636363638</c:v>
                </c:pt>
                <c:pt idx="14">
                  <c:v>0.29004325454545454</c:v>
                </c:pt>
                <c:pt idx="15">
                  <c:v>0.3073592727272727</c:v>
                </c:pt>
                <c:pt idx="16">
                  <c:v>0.32467529090909086</c:v>
                </c:pt>
                <c:pt idx="17">
                  <c:v>0.34199130909090902</c:v>
                </c:pt>
                <c:pt idx="18">
                  <c:v>0.35930732727272718</c:v>
                </c:pt>
                <c:pt idx="19">
                  <c:v>0.37662334545454534</c:v>
                </c:pt>
                <c:pt idx="20">
                  <c:v>0.3939393636363635</c:v>
                </c:pt>
                <c:pt idx="21">
                  <c:v>0.41125538181818166</c:v>
                </c:pt>
                <c:pt idx="22">
                  <c:v>0.42857139999999982</c:v>
                </c:pt>
                <c:pt idx="23">
                  <c:v>0.44588741818181798</c:v>
                </c:pt>
                <c:pt idx="24">
                  <c:v>0.46320343636363615</c:v>
                </c:pt>
                <c:pt idx="26">
                  <c:v>0.48051945454545431</c:v>
                </c:pt>
                <c:pt idx="38">
                  <c:v>0.49783547272727247</c:v>
                </c:pt>
                <c:pt idx="39">
                  <c:v>0.51515149090909063</c:v>
                </c:pt>
                <c:pt idx="40">
                  <c:v>0.53246750909090879</c:v>
                </c:pt>
                <c:pt idx="41">
                  <c:v>0.54978352727272695</c:v>
                </c:pt>
                <c:pt idx="42">
                  <c:v>0.56709954545454511</c:v>
                </c:pt>
                <c:pt idx="43">
                  <c:v>0.58441556363636327</c:v>
                </c:pt>
                <c:pt idx="44">
                  <c:v>0.60173158181818143</c:v>
                </c:pt>
                <c:pt idx="45">
                  <c:v>0.61904759999999959</c:v>
                </c:pt>
                <c:pt idx="46">
                  <c:v>0.63636361818181775</c:v>
                </c:pt>
                <c:pt idx="47">
                  <c:v>0.65367963636363591</c:v>
                </c:pt>
                <c:pt idx="48">
                  <c:v>0.67099565454545407</c:v>
                </c:pt>
                <c:pt idx="49">
                  <c:v>0.68831167272727223</c:v>
                </c:pt>
                <c:pt idx="50">
                  <c:v>0.70562769090909039</c:v>
                </c:pt>
                <c:pt idx="51">
                  <c:v>0.72294370909090855</c:v>
                </c:pt>
                <c:pt idx="52">
                  <c:v>0.74025972727272671</c:v>
                </c:pt>
                <c:pt idx="53">
                  <c:v>0.75757574545454487</c:v>
                </c:pt>
                <c:pt idx="54">
                  <c:v>0.77489176363636303</c:v>
                </c:pt>
                <c:pt idx="55">
                  <c:v>1</c:v>
                </c:pt>
              </c:numCache>
            </c:numRef>
          </c:cat>
          <c:val>
            <c:numRef>
              <c:f>'Overall Metrics'!$M$2:$M$57</c:f>
              <c:numCache>
                <c:formatCode>General</c:formatCode>
                <c:ptCount val="56"/>
                <c:pt idx="0">
                  <c:v>4</c:v>
                </c:pt>
                <c:pt idx="1">
                  <c:v>4</c:v>
                </c:pt>
                <c:pt idx="2">
                  <c:v>0</c:v>
                </c:pt>
                <c:pt idx="3">
                  <c:v>1</c:v>
                </c:pt>
                <c:pt idx="4">
                  <c:v>0</c:v>
                </c:pt>
                <c:pt idx="5">
                  <c:v>0</c:v>
                </c:pt>
                <c:pt idx="6">
                  <c:v>2</c:v>
                </c:pt>
                <c:pt idx="7">
                  <c:v>0</c:v>
                </c:pt>
                <c:pt idx="8">
                  <c:v>0</c:v>
                </c:pt>
                <c:pt idx="9">
                  <c:v>0</c:v>
                </c:pt>
                <c:pt idx="10">
                  <c:v>0</c:v>
                </c:pt>
                <c:pt idx="11">
                  <c:v>2</c:v>
                </c:pt>
                <c:pt idx="12">
                  <c:v>0</c:v>
                </c:pt>
                <c:pt idx="13">
                  <c:v>0</c:v>
                </c:pt>
                <c:pt idx="14">
                  <c:v>0</c:v>
                </c:pt>
                <c:pt idx="15">
                  <c:v>0</c:v>
                </c:pt>
                <c:pt idx="16">
                  <c:v>0</c:v>
                </c:pt>
                <c:pt idx="17">
                  <c:v>0</c:v>
                </c:pt>
                <c:pt idx="18">
                  <c:v>0</c:v>
                </c:pt>
                <c:pt idx="19">
                  <c:v>0</c:v>
                </c:pt>
                <c:pt idx="20">
                  <c:v>0</c:v>
                </c:pt>
                <c:pt idx="21">
                  <c:v>0</c:v>
                </c:pt>
                <c:pt idx="22">
                  <c:v>0</c:v>
                </c:pt>
                <c:pt idx="23">
                  <c:v>0</c:v>
                </c:pt>
                <c:pt idx="24">
                  <c:v>0</c:v>
                </c:pt>
                <c:pt idx="25">
                  <c:v>-4</c:v>
                </c:pt>
                <c:pt idx="26">
                  <c:v>0</c:v>
                </c:pt>
                <c:pt idx="27">
                  <c:v>0</c:v>
                </c:pt>
                <c:pt idx="28">
                  <c:v>0</c:v>
                </c:pt>
                <c:pt idx="29">
                  <c:v>0</c:v>
                </c:pt>
                <c:pt idx="30">
                  <c:v>0</c:v>
                </c:pt>
                <c:pt idx="31">
                  <c:v>0</c:v>
                </c:pt>
                <c:pt idx="32">
                  <c:v>0</c:v>
                </c:pt>
                <c:pt idx="33">
                  <c:v>0</c:v>
                </c:pt>
                <c:pt idx="34">
                  <c:v>0</c:v>
                </c:pt>
                <c:pt idx="35">
                  <c:v>0</c:v>
                </c:pt>
                <c:pt idx="36">
                  <c:v>-4</c:v>
                </c:pt>
                <c:pt idx="37">
                  <c:v>-4</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4</c:v>
                </c:pt>
              </c:numCache>
            </c:numRef>
          </c:val>
          <c:extLst>
            <c:ext xmlns:c16="http://schemas.microsoft.com/office/drawing/2014/chart" uri="{C3380CC4-5D6E-409C-BE32-E72D297353CC}">
              <c16:uniqueId val="{00000000-2931-4C74-A0E8-B0310B1F20E6}"/>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8</c:v>
                </c:pt>
              </c:strCache>
            </c:strRef>
          </c:tx>
          <c:spPr>
            <a:solidFill>
              <a:schemeClr val="accent1"/>
            </a:solidFill>
          </c:spPr>
          <c:invertIfNegative val="0"/>
          <c:cat>
            <c:numRef>
              <c:f>'Overall Metrics'!$N$2:$N$57</c:f>
              <c:numCache>
                <c:formatCode>#,##0.00</c:formatCode>
                <c:ptCount val="56"/>
                <c:pt idx="0">
                  <c:v>0</c:v>
                </c:pt>
                <c:pt idx="1">
                  <c:v>4.0604727272727272E-3</c:v>
                </c:pt>
                <c:pt idx="2">
                  <c:v>8.1209454545454543E-3</c:v>
                </c:pt>
                <c:pt idx="3">
                  <c:v>1.2181418181818181E-2</c:v>
                </c:pt>
                <c:pt idx="4">
                  <c:v>1.6241890909090909E-2</c:v>
                </c:pt>
                <c:pt idx="5">
                  <c:v>2.0302363636363636E-2</c:v>
                </c:pt>
                <c:pt idx="6">
                  <c:v>2.4362836363636363E-2</c:v>
                </c:pt>
                <c:pt idx="7">
                  <c:v>2.842330909090909E-2</c:v>
                </c:pt>
                <c:pt idx="8">
                  <c:v>3.2483781818181817E-2</c:v>
                </c:pt>
                <c:pt idx="9">
                  <c:v>3.6544254545454541E-2</c:v>
                </c:pt>
                <c:pt idx="10">
                  <c:v>4.0604727272727265E-2</c:v>
                </c:pt>
                <c:pt idx="11">
                  <c:v>4.4665199999999988E-2</c:v>
                </c:pt>
                <c:pt idx="12">
                  <c:v>4.8725672727272712E-2</c:v>
                </c:pt>
                <c:pt idx="13">
                  <c:v>5.2786145454545436E-2</c:v>
                </c:pt>
                <c:pt idx="14">
                  <c:v>5.6846618181818159E-2</c:v>
                </c:pt>
                <c:pt idx="15">
                  <c:v>6.0907090909090883E-2</c:v>
                </c:pt>
                <c:pt idx="16">
                  <c:v>6.4967563636363607E-2</c:v>
                </c:pt>
                <c:pt idx="17">
                  <c:v>6.902803636363633E-2</c:v>
                </c:pt>
                <c:pt idx="18">
                  <c:v>7.3088509090909054E-2</c:v>
                </c:pt>
                <c:pt idx="19">
                  <c:v>7.7148981818181778E-2</c:v>
                </c:pt>
                <c:pt idx="20">
                  <c:v>8.1209454545454501E-2</c:v>
                </c:pt>
                <c:pt idx="21">
                  <c:v>8.5269927272727225E-2</c:v>
                </c:pt>
                <c:pt idx="22">
                  <c:v>8.9330399999999949E-2</c:v>
                </c:pt>
                <c:pt idx="23">
                  <c:v>9.3390872727272672E-2</c:v>
                </c:pt>
                <c:pt idx="24">
                  <c:v>9.7451345454545396E-2</c:v>
                </c:pt>
                <c:pt idx="26">
                  <c:v>0.10151181818181812</c:v>
                </c:pt>
                <c:pt idx="38">
                  <c:v>0.10557229090909084</c:v>
                </c:pt>
                <c:pt idx="39">
                  <c:v>0.10963276363636357</c:v>
                </c:pt>
                <c:pt idx="40">
                  <c:v>0.11369323636363629</c:v>
                </c:pt>
                <c:pt idx="41">
                  <c:v>0.11775370909090901</c:v>
                </c:pt>
                <c:pt idx="42">
                  <c:v>0.12181418181818174</c:v>
                </c:pt>
                <c:pt idx="43">
                  <c:v>0.12587465454545446</c:v>
                </c:pt>
                <c:pt idx="44">
                  <c:v>0.12993512727272719</c:v>
                </c:pt>
                <c:pt idx="45">
                  <c:v>0.13399559999999991</c:v>
                </c:pt>
                <c:pt idx="46">
                  <c:v>0.13805607272727263</c:v>
                </c:pt>
                <c:pt idx="47">
                  <c:v>0.14211654545454536</c:v>
                </c:pt>
                <c:pt idx="48">
                  <c:v>0.14617701818181808</c:v>
                </c:pt>
                <c:pt idx="49">
                  <c:v>0.1502374909090908</c:v>
                </c:pt>
                <c:pt idx="50">
                  <c:v>0.15429796363636353</c:v>
                </c:pt>
                <c:pt idx="51">
                  <c:v>0.15835843636363625</c:v>
                </c:pt>
                <c:pt idx="52">
                  <c:v>0.16241890909090897</c:v>
                </c:pt>
                <c:pt idx="53">
                  <c:v>0.1664793818181817</c:v>
                </c:pt>
                <c:pt idx="54">
                  <c:v>0.17053985454545442</c:v>
                </c:pt>
                <c:pt idx="55">
                  <c:v>0.223326</c:v>
                </c:pt>
              </c:numCache>
            </c:numRef>
          </c:cat>
          <c:val>
            <c:numRef>
              <c:f>'Overall Metrics'!$O$2:$O$57</c:f>
              <c:numCache>
                <c:formatCode>General</c:formatCode>
                <c:ptCount val="56"/>
                <c:pt idx="0">
                  <c:v>8</c:v>
                </c:pt>
                <c:pt idx="1">
                  <c:v>0</c:v>
                </c:pt>
                <c:pt idx="2">
                  <c:v>0</c:v>
                </c:pt>
                <c:pt idx="3">
                  <c:v>0</c:v>
                </c:pt>
                <c:pt idx="4">
                  <c:v>0</c:v>
                </c:pt>
                <c:pt idx="5">
                  <c:v>1</c:v>
                </c:pt>
                <c:pt idx="6">
                  <c:v>0</c:v>
                </c:pt>
                <c:pt idx="7">
                  <c:v>0</c:v>
                </c:pt>
                <c:pt idx="8">
                  <c:v>0</c:v>
                </c:pt>
                <c:pt idx="9">
                  <c:v>0</c:v>
                </c:pt>
                <c:pt idx="10">
                  <c:v>0</c:v>
                </c:pt>
                <c:pt idx="11">
                  <c:v>0</c:v>
                </c:pt>
                <c:pt idx="12">
                  <c:v>0</c:v>
                </c:pt>
                <c:pt idx="13">
                  <c:v>0</c:v>
                </c:pt>
                <c:pt idx="14">
                  <c:v>0</c:v>
                </c:pt>
                <c:pt idx="15">
                  <c:v>0</c:v>
                </c:pt>
                <c:pt idx="16">
                  <c:v>3</c:v>
                </c:pt>
                <c:pt idx="17">
                  <c:v>1</c:v>
                </c:pt>
                <c:pt idx="18">
                  <c:v>0</c:v>
                </c:pt>
                <c:pt idx="19">
                  <c:v>0</c:v>
                </c:pt>
                <c:pt idx="20">
                  <c:v>0</c:v>
                </c:pt>
                <c:pt idx="21">
                  <c:v>0</c:v>
                </c:pt>
                <c:pt idx="22">
                  <c:v>0</c:v>
                </c:pt>
                <c:pt idx="23">
                  <c:v>0</c:v>
                </c:pt>
                <c:pt idx="24">
                  <c:v>0</c:v>
                </c:pt>
                <c:pt idx="25">
                  <c:v>-4</c:v>
                </c:pt>
                <c:pt idx="26">
                  <c:v>0</c:v>
                </c:pt>
                <c:pt idx="27">
                  <c:v>0</c:v>
                </c:pt>
                <c:pt idx="28">
                  <c:v>0</c:v>
                </c:pt>
                <c:pt idx="29">
                  <c:v>0</c:v>
                </c:pt>
                <c:pt idx="30">
                  <c:v>0</c:v>
                </c:pt>
                <c:pt idx="31">
                  <c:v>0</c:v>
                </c:pt>
                <c:pt idx="32">
                  <c:v>0</c:v>
                </c:pt>
                <c:pt idx="33">
                  <c:v>0</c:v>
                </c:pt>
                <c:pt idx="34">
                  <c:v>0</c:v>
                </c:pt>
                <c:pt idx="35">
                  <c:v>0</c:v>
                </c:pt>
                <c:pt idx="36">
                  <c:v>-4</c:v>
                </c:pt>
                <c:pt idx="37">
                  <c:v>-4</c:v>
                </c:pt>
                <c:pt idx="38">
                  <c:v>0</c:v>
                </c:pt>
                <c:pt idx="39">
                  <c:v>0</c:v>
                </c:pt>
                <c:pt idx="40">
                  <c:v>0</c:v>
                </c:pt>
                <c:pt idx="41">
                  <c:v>0</c:v>
                </c:pt>
                <c:pt idx="42">
                  <c:v>0</c:v>
                </c:pt>
                <c:pt idx="43">
                  <c:v>0</c:v>
                </c:pt>
                <c:pt idx="44">
                  <c:v>0</c:v>
                </c:pt>
                <c:pt idx="45">
                  <c:v>0</c:v>
                </c:pt>
                <c:pt idx="46">
                  <c:v>0</c:v>
                </c:pt>
                <c:pt idx="47">
                  <c:v>0</c:v>
                </c:pt>
                <c:pt idx="48">
                  <c:v>0</c:v>
                </c:pt>
                <c:pt idx="49">
                  <c:v>0</c:v>
                </c:pt>
                <c:pt idx="50">
                  <c:v>0</c:v>
                </c:pt>
                <c:pt idx="51">
                  <c:v>3</c:v>
                </c:pt>
                <c:pt idx="52">
                  <c:v>0</c:v>
                </c:pt>
                <c:pt idx="53">
                  <c:v>0</c:v>
                </c:pt>
                <c:pt idx="54">
                  <c:v>0</c:v>
                </c:pt>
                <c:pt idx="55">
                  <c:v>1</c:v>
                </c:pt>
              </c:numCache>
            </c:numRef>
          </c:val>
          <c:extLst>
            <c:ext xmlns:c16="http://schemas.microsoft.com/office/drawing/2014/chart" uri="{C3380CC4-5D6E-409C-BE32-E72D297353CC}">
              <c16:uniqueId val="{00000000-CB2E-4301-8273-7FF6F0373195}"/>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13</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13</c:v>
                </c:pt>
                <c:pt idx="1">
                  <c:v>0</c:v>
                </c:pt>
                <c:pt idx="2">
                  <c:v>0</c:v>
                </c:pt>
                <c:pt idx="3">
                  <c:v>0</c:v>
                </c:pt>
                <c:pt idx="4">
                  <c:v>0</c:v>
                </c:pt>
                <c:pt idx="5">
                  <c:v>0</c:v>
                </c:pt>
                <c:pt idx="6">
                  <c:v>0</c:v>
                </c:pt>
                <c:pt idx="7">
                  <c:v>1</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-3</c:v>
                </c:pt>
                <c:pt idx="26">
                  <c:v>0</c:v>
                </c:pt>
                <c:pt idx="27">
                  <c:v>0</c:v>
                </c:pt>
                <c:pt idx="28">
                  <c:v>0</c:v>
                </c:pt>
                <c:pt idx="29">
                  <c:v>0</c:v>
                </c:pt>
                <c:pt idx="30">
                  <c:v>0</c:v>
                </c:pt>
                <c:pt idx="31">
                  <c:v>0</c:v>
                </c:pt>
                <c:pt idx="32">
                  <c:v>0</c:v>
                </c:pt>
                <c:pt idx="33">
                  <c:v>0</c:v>
                </c:pt>
                <c:pt idx="34">
                  <c:v>0</c:v>
                </c:pt>
                <c:pt idx="35">
                  <c:v>0</c:v>
                </c:pt>
                <c:pt idx="36">
                  <c:v>-3</c:v>
                </c:pt>
                <c:pt idx="37">
                  <c:v>-3</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3</c:v>
                </c:pt>
              </c:numCache>
            </c:numRef>
          </c:val>
          <c:extLst>
            <c:ext xmlns:c16="http://schemas.microsoft.com/office/drawing/2014/chart" uri="{C3380CC4-5D6E-409C-BE32-E72D297353CC}">
              <c16:uniqueId val="{00000000-0571-44B0-A9AA-E3ECAAF69291}"/>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3</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3</c:v>
                </c:pt>
                <c:pt idx="1">
                  <c:v>1</c:v>
                </c:pt>
                <c:pt idx="2">
                  <c:v>0</c:v>
                </c:pt>
                <c:pt idx="3">
                  <c:v>0</c:v>
                </c:pt>
                <c:pt idx="4">
                  <c:v>0</c:v>
                </c:pt>
                <c:pt idx="5">
                  <c:v>2</c:v>
                </c:pt>
                <c:pt idx="6">
                  <c:v>0</c:v>
                </c:pt>
                <c:pt idx="7">
                  <c:v>0</c:v>
                </c:pt>
                <c:pt idx="8">
                  <c:v>0</c:v>
                </c:pt>
                <c:pt idx="9">
                  <c:v>0</c:v>
                </c:pt>
                <c:pt idx="10">
                  <c:v>0</c:v>
                </c:pt>
                <c:pt idx="11">
                  <c:v>1</c:v>
                </c:pt>
                <c:pt idx="12">
                  <c:v>4</c:v>
                </c:pt>
                <c:pt idx="13">
                  <c:v>0</c:v>
                </c:pt>
                <c:pt idx="14">
                  <c:v>0</c:v>
                </c:pt>
                <c:pt idx="15">
                  <c:v>3</c:v>
                </c:pt>
                <c:pt idx="16">
                  <c:v>0</c:v>
                </c:pt>
                <c:pt idx="17">
                  <c:v>0</c:v>
                </c:pt>
                <c:pt idx="18">
                  <c:v>0</c:v>
                </c:pt>
                <c:pt idx="19">
                  <c:v>0</c:v>
                </c:pt>
                <c:pt idx="20">
                  <c:v>2</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extLst>
            <c:ext xmlns:c16="http://schemas.microsoft.com/office/drawing/2014/chart" uri="{C3380CC4-5D6E-409C-BE32-E72D297353CC}">
              <c16:uniqueId val="{00000000-E3FA-4418-A616-B894383464C2}"/>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1DBE-4F92-8ECA-5C201D3DB5B8}"/>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Q36" totalsRowShown="0" headerRowDxfId="101" dataDxfId="100">
  <autoFilter ref="A2:Q36"/>
  <tableColumns count="17">
    <tableColumn id="1" name="Vertex 1"/>
    <tableColumn id="2" name="Vertex 2"/>
    <tableColumn id="3" name="Color" dataDxfId="99"/>
    <tableColumn id="4" name="Width" dataDxfId="98"/>
    <tableColumn id="11" name="Style" dataDxfId="97"/>
    <tableColumn id="5" name="Opacity" dataDxfId="96"/>
    <tableColumn id="6" name="Visibility" dataDxfId="95"/>
    <tableColumn id="10" name="Label" dataDxfId="94"/>
    <tableColumn id="12" name="Label Text Color" dataDxfId="93"/>
    <tableColumn id="13" name="Label Font Size" dataDxfId="92"/>
    <tableColumn id="14" name="Reciprocated?" dataDxfId="91"/>
    <tableColumn id="7" name="ID" dataDxfId="90"/>
    <tableColumn id="9" name="Dynamic Filter" dataDxfId="89"/>
    <tableColumn id="8" name="EDGE WEIGHT"/>
    <tableColumn id="15" name="Vertex 1 Group" dataDxfId="88" dataCellStyle="Normal">
      <calculatedColumnFormula>REPLACE(INDEX(GroupVertices[Group], MATCH(Edges[[#This Row],[Vertex 1]],GroupVertices[Vertex],0)),1,1,"")</calculatedColumnFormula>
    </tableColumn>
    <tableColumn id="16" name="Vertex 2 Group" dataDxfId="87" dataCellStyle="Normal">
      <calculatedColumnFormula>REPLACE(INDEX(GroupVertices[Group], MATCH(Edges[[#This Row],[Vertex 2]],GroupVertices[Vertex],0)),1,1,"")</calculatedColumnFormula>
    </tableColumn>
    <tableColumn id="17" name="Column1" dataDxfId="86"/>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5">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6" totalsRowShown="0" headerRowDxfId="4" dataDxfId="3" dataCellStyle="NodeXL Required">
  <autoFilter ref="A2:C6"/>
  <tableColumns count="3">
    <tableColumn id="1" name="Group 1" dataDxfId="2" dataCellStyle="NodeXL Required"/>
    <tableColumn id="2" name="Group 2" dataDxfId="1" dataCellStyle="NodeXL Required"/>
    <tableColumn id="3" name="Edges" dataDxfId="0"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61" totalsRowShown="0" headerRowDxfId="85" dataDxfId="84">
  <autoFilter ref="A2:AD61"/>
  <sortState ref="A3:AD61">
    <sortCondition ref="A3"/>
  </sortState>
  <tableColumns count="30">
    <tableColumn id="1" name="Vertex" dataDxfId="83"/>
    <tableColumn id="2" name="Color" dataDxfId="82"/>
    <tableColumn id="5" name="Shape" dataDxfId="81"/>
    <tableColumn id="6" name="Size" dataDxfId="80"/>
    <tableColumn id="4" name="Opacity" dataDxfId="79"/>
    <tableColumn id="7" name="Image File" dataDxfId="78"/>
    <tableColumn id="3" name="Visibility" dataDxfId="77"/>
    <tableColumn id="10" name="Label" dataDxfId="76"/>
    <tableColumn id="16" name="Label Fill Color" dataDxfId="75"/>
    <tableColumn id="9" name="Label Position" dataDxfId="74"/>
    <tableColumn id="8" name="Tooltip" dataDxfId="73"/>
    <tableColumn id="18" name="Layout Order" dataDxfId="72"/>
    <tableColumn id="13" name="X" dataDxfId="71"/>
    <tableColumn id="14" name="Y" dataDxfId="70"/>
    <tableColumn id="12" name="Locked?" dataDxfId="69"/>
    <tableColumn id="19" name="Polar R" dataDxfId="68"/>
    <tableColumn id="20" name="Polar Angle" dataDxfId="67"/>
    <tableColumn id="21" name="Degree" dataDxfId="66" dataCellStyle="NodeXL Graph Metric"/>
    <tableColumn id="22" name="In-Degree" dataDxfId="65"/>
    <tableColumn id="23" name="Out-Degree" dataDxfId="64"/>
    <tableColumn id="24" name="Betweenness Centrality" dataDxfId="63" dataCellStyle="NodeXL Graph Metric"/>
    <tableColumn id="25" name="Closeness Centrality" dataDxfId="62" dataCellStyle="NodeXL Graph Metric"/>
    <tableColumn id="26" name="Eigenvector Centrality" dataDxfId="61" dataCellStyle="NodeXL Graph Metric"/>
    <tableColumn id="15" name="PageRank" dataDxfId="60" dataCellStyle="NodeXL Graph Metric"/>
    <tableColumn id="27" name="Clustering Coefficient" dataDxfId="59" dataCellStyle="NodeXL Graph Metric"/>
    <tableColumn id="29" name="Reciprocated Vertex Pair Ratio" dataDxfId="58"/>
    <tableColumn id="11" name="ID" dataDxfId="57"/>
    <tableColumn id="28" name="Dynamic Filter" dataDxfId="56"/>
    <tableColumn id="17" name="Add Your Own Columns Here" dataDxfId="55"/>
    <tableColumn id="30" name="Vertex Group" dataDxfId="54"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6" totalsRowShown="0" headerRowDxfId="53">
  <autoFilter ref="A2:X6"/>
  <tableColumns count="24">
    <tableColumn id="1" name="Group" dataDxfId="52" dataCellStyle="NodeXL Required"/>
    <tableColumn id="2" name="Vertex Color" dataDxfId="51" dataCellStyle="NodeXL Visual Property"/>
    <tableColumn id="3" name="Vertex Shape" dataDxfId="50" dataCellStyle="NodeXL Visual Property"/>
    <tableColumn id="22" name="Visibility" dataDxfId="49"/>
    <tableColumn id="4" name="Collapsed?"/>
    <tableColumn id="18" name="Label" dataDxfId="48"/>
    <tableColumn id="20" name="Collapsed X"/>
    <tableColumn id="21" name="Collapsed Y"/>
    <tableColumn id="6" name="ID" dataDxfId="47"/>
    <tableColumn id="19" name="Collapsed Properties" dataDxfId="46"/>
    <tableColumn id="5" name="Vertices" dataDxfId="45" dataCellStyle="NodeXL Graph Metric"/>
    <tableColumn id="7" name="Unique Edges" dataDxfId="44" dataCellStyle="NodeXL Graph Metric"/>
    <tableColumn id="8" name="Edges With Duplicates" dataDxfId="43" dataCellStyle="NodeXL Graph Metric"/>
    <tableColumn id="9" name="Total Edges" dataDxfId="42" dataCellStyle="NodeXL Graph Metric"/>
    <tableColumn id="10" name="Self-Loops" dataDxfId="41" dataCellStyle="NodeXL Graph Metric"/>
    <tableColumn id="24" name="Reciprocated Vertex Pair Ratio" dataDxfId="40" dataCellStyle="NodeXL Graph Metric"/>
    <tableColumn id="25" name="Reciprocated Edge Ratio" dataDxfId="39" dataCellStyle="NodeXL Graph Metric"/>
    <tableColumn id="11" name="Connected Components" dataDxfId="38" dataCellStyle="NodeXL Graph Metric"/>
    <tableColumn id="12" name="Single-Vertex Connected Components" dataDxfId="37" dataCellStyle="NodeXL Graph Metric"/>
    <tableColumn id="13" name="Maximum Vertices in a Connected Component" dataDxfId="36" dataCellStyle="NodeXL Graph Metric"/>
    <tableColumn id="14" name="Maximum Edges in a Connected Component" dataDxfId="35" dataCellStyle="NodeXL Graph Metric"/>
    <tableColumn id="15" name="Maximum Geodesic Distance (Diameter)" dataDxfId="34" dataCellStyle="NodeXL Graph Metric"/>
    <tableColumn id="16" name="Average Geodesic Distance" dataDxfId="33" dataCellStyle="NodeXL Graph Metric"/>
    <tableColumn id="17" name="Graph Density" dataDxfId="32"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18" totalsRowShown="0" headerRowDxfId="31" dataDxfId="30">
  <autoFilter ref="A1:C18"/>
  <tableColumns count="3">
    <tableColumn id="1" name="Group" dataDxfId="29" dataCellStyle="Normal"/>
    <tableColumn id="2" name="Vertex" dataDxfId="28" dataCellStyle="Normal"/>
    <tableColumn id="3" name="Vertex ID" dataDxfId="27"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26" dataCellStyle="NodeXL Graph Metric"/>
    <tableColumn id="2" name="Value" dataDxfId="25"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24"/>
    <tableColumn id="2" name="Degree Frequency" dataDxfId="23">
      <calculatedColumnFormula>COUNTIF(Vertices[Degree], "&gt;= " &amp; D2) - COUNTIF(Vertices[Degree], "&gt;=" &amp; D3)</calculatedColumnFormula>
    </tableColumn>
    <tableColumn id="3" name="In-Degree Bin" dataDxfId="22"/>
    <tableColumn id="4" name="In-Degree Frequency" dataDxfId="21">
      <calculatedColumnFormula>COUNTIF(Vertices[In-Degree], "&gt;= " &amp; F2) - COUNTIF(Vertices[In-Degree], "&gt;=" &amp; F3)</calculatedColumnFormula>
    </tableColumn>
    <tableColumn id="5" name="Out-Degree Bin" dataDxfId="20"/>
    <tableColumn id="6" name="Out-Degree Frequency" dataDxfId="19">
      <calculatedColumnFormula>COUNTIF(Vertices[Out-Degree], "&gt;= " &amp; H2) - COUNTIF(Vertices[Out-Degree], "&gt;=" &amp; H3)</calculatedColumnFormula>
    </tableColumn>
    <tableColumn id="7" name="Betweenness Centrality Bin" dataDxfId="18"/>
    <tableColumn id="8" name="Betweenness Centrality Frequency" dataDxfId="17">
      <calculatedColumnFormula>COUNTIF(Vertices[Betweenness Centrality], "&gt;= " &amp; J2) - COUNTIF(Vertices[Betweenness Centrality], "&gt;=" &amp; J3)</calculatedColumnFormula>
    </tableColumn>
    <tableColumn id="9" name="Closeness Centrality Bin" dataDxfId="16"/>
    <tableColumn id="10" name="Closeness Centrality Frequency" dataDxfId="15">
      <calculatedColumnFormula>COUNTIF(Vertices[Closeness Centrality], "&gt;= " &amp; L2) - COUNTIF(Vertices[Closeness Centrality], "&gt;=" &amp; L3)</calculatedColumnFormula>
    </tableColumn>
    <tableColumn id="11" name="Eigenvector Centrality Bin" dataDxfId="14"/>
    <tableColumn id="12" name="Eigenvector Centrality Frequency" dataDxfId="13">
      <calculatedColumnFormula>COUNTIF(Vertices[Eigenvector Centrality], "&gt;= " &amp; N2) - COUNTIF(Vertices[Eigenvector Centrality], "&gt;=" &amp; N3)</calculatedColumnFormula>
    </tableColumn>
    <tableColumn id="18" name="PageRank Bin" dataDxfId="12"/>
    <tableColumn id="17" name="PageRank Frequency" dataDxfId="11">
      <calculatedColumnFormula>COUNTIF(Vertices[Eigenvector Centrality], "&gt;= " &amp; P2) - COUNTIF(Vertices[Eigenvector Centrality], "&gt;=" &amp; P3)</calculatedColumnFormula>
    </tableColumn>
    <tableColumn id="13" name="Clustering Coefficient Bin" dataDxfId="10"/>
    <tableColumn id="14" name="Clustering Coefficient Frequency" dataDxfId="9">
      <calculatedColumnFormula>COUNTIF(Vertices[Clustering Coefficient], "&gt;= " &amp; R2) - COUNTIF(Vertices[Clustering Coefficient], "&gt;=" &amp; R3)</calculatedColumnFormula>
    </tableColumn>
    <tableColumn id="15" name="Dynamic Filter Bin" dataDxfId="8"/>
    <tableColumn id="16" name="Dynamic Filter Frequency" dataDxfId="7">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6">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Q37"/>
  <sheetViews>
    <sheetView tabSelected="1" workbookViewId="0">
      <pane xSplit="2" ySplit="2" topLeftCell="H3" activePane="bottomRight" state="frozen"/>
      <selection pane="topRight" activeCell="C1" sqref="C1"/>
      <selection pane="bottomLeft" activeCell="A3" sqref="A3"/>
      <selection pane="bottomRight" activeCell="A3" sqref="A3"/>
    </sheetView>
  </sheetViews>
  <sheetFormatPr defaultRowHeight="14.25" customHeight="1" x14ac:dyDescent="0.25"/>
  <cols>
    <col min="1" max="1" width="60.85546875" style="1" bestFit="1" customWidth="1"/>
    <col min="2" max="2" width="25.57031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8" max="18" width="11" bestFit="1" customWidth="1"/>
    <col min="19" max="19" width="12.42578125" bestFit="1" customWidth="1"/>
  </cols>
  <sheetData>
    <row r="1" spans="1:17" ht="14.25" customHeight="1" x14ac:dyDescent="0.25">
      <c r="C1" s="16" t="s">
        <v>40</v>
      </c>
      <c r="D1" s="17"/>
      <c r="E1" s="17"/>
      <c r="F1" s="17"/>
      <c r="G1" s="16"/>
      <c r="H1" s="14" t="s">
        <v>44</v>
      </c>
      <c r="I1" s="62"/>
      <c r="J1" s="62"/>
      <c r="K1" s="33" t="s">
        <v>43</v>
      </c>
      <c r="L1" s="18" t="s">
        <v>41</v>
      </c>
      <c r="M1" s="18"/>
      <c r="N1" s="15" t="s">
        <v>42</v>
      </c>
    </row>
    <row r="2" spans="1:17" ht="14.2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175</v>
      </c>
      <c r="O2" s="13" t="s">
        <v>193</v>
      </c>
      <c r="P2" s="13" t="s">
        <v>194</v>
      </c>
      <c r="Q2" s="13" t="s">
        <v>195</v>
      </c>
    </row>
    <row r="3" spans="1:17" ht="14.25" customHeight="1" thickBot="1" x14ac:dyDescent="0.3">
      <c r="A3" s="76" t="s">
        <v>200</v>
      </c>
      <c r="B3" s="76" t="s">
        <v>201</v>
      </c>
      <c r="C3" s="77"/>
      <c r="D3" s="78">
        <v>1</v>
      </c>
      <c r="E3" s="79"/>
      <c r="F3" s="80"/>
      <c r="G3" s="77"/>
      <c r="H3" s="81"/>
      <c r="I3" s="82"/>
      <c r="J3" s="82"/>
      <c r="K3" s="51"/>
      <c r="L3" s="83">
        <v>3</v>
      </c>
      <c r="M3" s="83"/>
      <c r="N3" s="84">
        <v>1</v>
      </c>
      <c r="O3" s="99" t="str">
        <f>REPLACE(INDEX(GroupVertices[Group], MATCH(Edges[[#This Row],[Vertex 1]],GroupVertices[Vertex],0)),1,1,"")</f>
        <v>3</v>
      </c>
      <c r="P3" s="99" t="str">
        <f>REPLACE(INDEX(GroupVertices[Group], MATCH(Edges[[#This Row],[Vertex 2]],GroupVertices[Vertex],0)),1,1,"")</f>
        <v>3</v>
      </c>
      <c r="Q3" s="99"/>
    </row>
    <row r="4" spans="1:17" ht="14.25" customHeight="1" thickTop="1" thickBot="1" x14ac:dyDescent="0.3">
      <c r="A4" s="76" t="s">
        <v>202</v>
      </c>
      <c r="B4" s="76" t="s">
        <v>203</v>
      </c>
      <c r="C4" s="77"/>
      <c r="D4" s="78">
        <v>10</v>
      </c>
      <c r="E4" s="79"/>
      <c r="F4" s="80"/>
      <c r="G4" s="77"/>
      <c r="H4" s="81"/>
      <c r="I4" s="82"/>
      <c r="J4" s="82"/>
      <c r="K4" s="51"/>
      <c r="L4" s="83">
        <v>4</v>
      </c>
      <c r="M4" s="83"/>
      <c r="N4" s="84">
        <v>10</v>
      </c>
      <c r="O4" s="99" t="str">
        <f>REPLACE(INDEX(GroupVertices[Group], MATCH(Edges[[#This Row],[Vertex 1]],GroupVertices[Vertex],0)),1,1,"")</f>
        <v>2</v>
      </c>
      <c r="P4" s="99" t="str">
        <f>REPLACE(INDEX(GroupVertices[Group], MATCH(Edges[[#This Row],[Vertex 2]],GroupVertices[Vertex],0)),1,1,"")</f>
        <v>2</v>
      </c>
      <c r="Q4" s="99"/>
    </row>
    <row r="5" spans="1:17" ht="14.25" customHeight="1" thickTop="1" thickBot="1" x14ac:dyDescent="0.3">
      <c r="A5" s="76" t="s">
        <v>202</v>
      </c>
      <c r="B5" s="76" t="s">
        <v>204</v>
      </c>
      <c r="C5" s="77"/>
      <c r="D5" s="78">
        <v>1</v>
      </c>
      <c r="E5" s="79"/>
      <c r="F5" s="80"/>
      <c r="G5" s="77"/>
      <c r="H5" s="81"/>
      <c r="I5" s="82"/>
      <c r="J5" s="82"/>
      <c r="K5" s="51"/>
      <c r="L5" s="83">
        <v>5</v>
      </c>
      <c r="M5" s="83"/>
      <c r="N5" s="84">
        <v>1</v>
      </c>
      <c r="O5" s="99" t="str">
        <f>REPLACE(INDEX(GroupVertices[Group], MATCH(Edges[[#This Row],[Vertex 1]],GroupVertices[Vertex],0)),1,1,"")</f>
        <v>2</v>
      </c>
      <c r="P5" s="99" t="str">
        <f>REPLACE(INDEX(GroupVertices[Group], MATCH(Edges[[#This Row],[Vertex 2]],GroupVertices[Vertex],0)),1,1,"")</f>
        <v>2</v>
      </c>
      <c r="Q5" s="99"/>
    </row>
    <row r="6" spans="1:17" ht="14.25" customHeight="1" thickTop="1" thickBot="1" x14ac:dyDescent="0.3">
      <c r="A6" s="76" t="s">
        <v>205</v>
      </c>
      <c r="B6" s="76" t="s">
        <v>206</v>
      </c>
      <c r="C6" s="77"/>
      <c r="D6" s="78">
        <v>3</v>
      </c>
      <c r="E6" s="79"/>
      <c r="F6" s="80"/>
      <c r="G6" s="77"/>
      <c r="H6" s="81"/>
      <c r="I6" s="82"/>
      <c r="J6" s="82"/>
      <c r="K6" s="51"/>
      <c r="L6" s="83">
        <v>6</v>
      </c>
      <c r="M6" s="83"/>
      <c r="N6" s="84">
        <v>3</v>
      </c>
      <c r="O6" s="99" t="str">
        <f>REPLACE(INDEX(GroupVertices[Group], MATCH(Edges[[#This Row],[Vertex 1]],GroupVertices[Vertex],0)),1,1,"")</f>
        <v>4</v>
      </c>
      <c r="P6" s="99" t="str">
        <f>REPLACE(INDEX(GroupVertices[Group], MATCH(Edges[[#This Row],[Vertex 2]],GroupVertices[Vertex],0)),1,1,"")</f>
        <v>4</v>
      </c>
      <c r="Q6" s="99"/>
    </row>
    <row r="7" spans="1:17" ht="14.25" customHeight="1" thickTop="1" thickBot="1" x14ac:dyDescent="0.3">
      <c r="A7" s="76" t="s">
        <v>207</v>
      </c>
      <c r="B7" s="76" t="s">
        <v>208</v>
      </c>
      <c r="C7" s="77"/>
      <c r="D7" s="78">
        <v>1</v>
      </c>
      <c r="E7" s="79"/>
      <c r="F7" s="80"/>
      <c r="G7" s="77"/>
      <c r="H7" s="81"/>
      <c r="I7" s="82"/>
      <c r="J7" s="82"/>
      <c r="K7" s="51"/>
      <c r="L7" s="83">
        <v>7</v>
      </c>
      <c r="M7" s="83"/>
      <c r="N7" s="84">
        <v>1</v>
      </c>
      <c r="O7" s="99" t="str">
        <f>REPLACE(INDEX(GroupVertices[Group], MATCH(Edges[[#This Row],[Vertex 1]],GroupVertices[Vertex],0)),1,1,"")</f>
        <v>1</v>
      </c>
      <c r="P7" s="99" t="str">
        <f>REPLACE(INDEX(GroupVertices[Group], MATCH(Edges[[#This Row],[Vertex 2]],GroupVertices[Vertex],0)),1,1,"")</f>
        <v>1</v>
      </c>
      <c r="Q7" s="99"/>
    </row>
    <row r="8" spans="1:17" ht="14.25" customHeight="1" thickTop="1" thickBot="1" x14ac:dyDescent="0.3">
      <c r="A8" s="76" t="s">
        <v>209</v>
      </c>
      <c r="B8" s="76" t="s">
        <v>210</v>
      </c>
      <c r="C8" s="77"/>
      <c r="D8" s="78">
        <v>2</v>
      </c>
      <c r="E8" s="79"/>
      <c r="F8" s="80"/>
      <c r="G8" s="77"/>
      <c r="H8" s="81"/>
      <c r="I8" s="82"/>
      <c r="J8" s="82"/>
      <c r="K8" s="51"/>
      <c r="L8" s="83">
        <v>8</v>
      </c>
      <c r="M8" s="83"/>
      <c r="N8" s="84">
        <v>2</v>
      </c>
      <c r="O8" s="99" t="str">
        <f>REPLACE(INDEX(GroupVertices[Group], MATCH(Edges[[#This Row],[Vertex 1]],GroupVertices[Vertex],0)),1,1,"")</f>
        <v>1</v>
      </c>
      <c r="P8" s="99" t="str">
        <f>REPLACE(INDEX(GroupVertices[Group], MATCH(Edges[[#This Row],[Vertex 2]],GroupVertices[Vertex],0)),1,1,"")</f>
        <v>1</v>
      </c>
      <c r="Q8" s="99"/>
    </row>
    <row r="9" spans="1:17" ht="14.25" customHeight="1" thickTop="1" thickBot="1" x14ac:dyDescent="0.3">
      <c r="A9" s="76" t="s">
        <v>209</v>
      </c>
      <c r="B9" s="76" t="s">
        <v>208</v>
      </c>
      <c r="C9" s="77"/>
      <c r="D9" s="78">
        <v>3</v>
      </c>
      <c r="E9" s="79"/>
      <c r="F9" s="80"/>
      <c r="G9" s="77"/>
      <c r="H9" s="81"/>
      <c r="I9" s="82"/>
      <c r="J9" s="82"/>
      <c r="K9" s="51"/>
      <c r="L9" s="83">
        <v>9</v>
      </c>
      <c r="M9" s="83"/>
      <c r="N9" s="84">
        <v>3</v>
      </c>
      <c r="O9" s="99" t="str">
        <f>REPLACE(INDEX(GroupVertices[Group], MATCH(Edges[[#This Row],[Vertex 1]],GroupVertices[Vertex],0)),1,1,"")</f>
        <v>1</v>
      </c>
      <c r="P9" s="99" t="str">
        <f>REPLACE(INDEX(GroupVertices[Group], MATCH(Edges[[#This Row],[Vertex 2]],GroupVertices[Vertex],0)),1,1,"")</f>
        <v>1</v>
      </c>
      <c r="Q9" s="99"/>
    </row>
    <row r="10" spans="1:17" ht="14.25" customHeight="1" thickTop="1" thickBot="1" x14ac:dyDescent="0.3">
      <c r="A10" s="76" t="s">
        <v>211</v>
      </c>
      <c r="B10" s="76" t="s">
        <v>212</v>
      </c>
      <c r="C10" s="77"/>
      <c r="D10" s="78">
        <v>1</v>
      </c>
      <c r="E10" s="79"/>
      <c r="F10" s="80"/>
      <c r="G10" s="77"/>
      <c r="H10" s="81"/>
      <c r="I10" s="82"/>
      <c r="J10" s="82"/>
      <c r="K10" s="51"/>
      <c r="L10" s="83">
        <v>10</v>
      </c>
      <c r="M10" s="83"/>
      <c r="N10" s="84">
        <v>1</v>
      </c>
      <c r="O10" s="99" t="str">
        <f>REPLACE(INDEX(GroupVertices[Group], MATCH(Edges[[#This Row],[Vertex 1]],GroupVertices[Vertex],0)),1,1,"")</f>
        <v>1</v>
      </c>
      <c r="P10" s="99" t="str">
        <f>REPLACE(INDEX(GroupVertices[Group], MATCH(Edges[[#This Row],[Vertex 2]],GroupVertices[Vertex],0)),1,1,"")</f>
        <v>1</v>
      </c>
      <c r="Q10" s="99"/>
    </row>
    <row r="11" spans="1:17" ht="14.25" customHeight="1" thickTop="1" thickBot="1" x14ac:dyDescent="0.3">
      <c r="A11" s="76" t="s">
        <v>211</v>
      </c>
      <c r="B11" s="76" t="s">
        <v>208</v>
      </c>
      <c r="C11" s="77"/>
      <c r="D11" s="78">
        <v>4</v>
      </c>
      <c r="E11" s="79"/>
      <c r="F11" s="80"/>
      <c r="G11" s="77"/>
      <c r="H11" s="81"/>
      <c r="I11" s="82"/>
      <c r="J11" s="82"/>
      <c r="K11" s="51"/>
      <c r="L11" s="83">
        <v>11</v>
      </c>
      <c r="M11" s="83"/>
      <c r="N11" s="84">
        <v>4</v>
      </c>
      <c r="O11" s="99" t="str">
        <f>REPLACE(INDEX(GroupVertices[Group], MATCH(Edges[[#This Row],[Vertex 1]],GroupVertices[Vertex],0)),1,1,"")</f>
        <v>1</v>
      </c>
      <c r="P11" s="99" t="str">
        <f>REPLACE(INDEX(GroupVertices[Group], MATCH(Edges[[#This Row],[Vertex 2]],GroupVertices[Vertex],0)),1,1,"")</f>
        <v>1</v>
      </c>
      <c r="Q11" s="99"/>
    </row>
    <row r="12" spans="1:17" ht="14.25" customHeight="1" thickTop="1" thickBot="1" x14ac:dyDescent="0.3">
      <c r="A12" s="76" t="s">
        <v>211</v>
      </c>
      <c r="B12" s="76" t="s">
        <v>213</v>
      </c>
      <c r="C12" s="77"/>
      <c r="D12" s="78">
        <v>2</v>
      </c>
      <c r="E12" s="79"/>
      <c r="F12" s="80"/>
      <c r="G12" s="77"/>
      <c r="H12" s="81"/>
      <c r="I12" s="82"/>
      <c r="J12" s="82"/>
      <c r="K12" s="51"/>
      <c r="L12" s="83">
        <v>12</v>
      </c>
      <c r="M12" s="83"/>
      <c r="N12" s="84">
        <v>2</v>
      </c>
      <c r="O12" s="99" t="str">
        <f>REPLACE(INDEX(GroupVertices[Group], MATCH(Edges[[#This Row],[Vertex 1]],GroupVertices[Vertex],0)),1,1,"")</f>
        <v>1</v>
      </c>
      <c r="P12" s="99" t="str">
        <f>REPLACE(INDEX(GroupVertices[Group], MATCH(Edges[[#This Row],[Vertex 2]],GroupVertices[Vertex],0)),1,1,"")</f>
        <v>1</v>
      </c>
      <c r="Q12" s="99"/>
    </row>
    <row r="13" spans="1:17" ht="14.25" customHeight="1" thickTop="1" thickBot="1" x14ac:dyDescent="0.3">
      <c r="A13" s="76" t="s">
        <v>214</v>
      </c>
      <c r="B13" s="76" t="s">
        <v>208</v>
      </c>
      <c r="C13" s="77"/>
      <c r="D13" s="78">
        <v>2</v>
      </c>
      <c r="E13" s="79"/>
      <c r="F13" s="80"/>
      <c r="G13" s="77"/>
      <c r="H13" s="81"/>
      <c r="I13" s="82"/>
      <c r="J13" s="82"/>
      <c r="K13" s="51"/>
      <c r="L13" s="83">
        <v>13</v>
      </c>
      <c r="M13" s="83"/>
      <c r="N13" s="84">
        <v>2</v>
      </c>
      <c r="O13" s="99" t="str">
        <f>REPLACE(INDEX(GroupVertices[Group], MATCH(Edges[[#This Row],[Vertex 1]],GroupVertices[Vertex],0)),1,1,"")</f>
        <v>1</v>
      </c>
      <c r="P13" s="99" t="str">
        <f>REPLACE(INDEX(GroupVertices[Group], MATCH(Edges[[#This Row],[Vertex 2]],GroupVertices[Vertex],0)),1,1,"")</f>
        <v>1</v>
      </c>
      <c r="Q13" s="99"/>
    </row>
    <row r="14" spans="1:17" ht="14.25" customHeight="1" thickTop="1" thickBot="1" x14ac:dyDescent="0.3">
      <c r="A14" s="76" t="s">
        <v>204</v>
      </c>
      <c r="B14" s="76" t="s">
        <v>215</v>
      </c>
      <c r="C14" s="77"/>
      <c r="D14" s="78">
        <v>1</v>
      </c>
      <c r="E14" s="79"/>
      <c r="F14" s="80"/>
      <c r="G14" s="77"/>
      <c r="H14" s="81"/>
      <c r="I14" s="82"/>
      <c r="J14" s="82"/>
      <c r="K14" s="51"/>
      <c r="L14" s="83">
        <v>14</v>
      </c>
      <c r="M14" s="83"/>
      <c r="N14" s="84">
        <v>1</v>
      </c>
      <c r="O14" s="99" t="str">
        <f>REPLACE(INDEX(GroupVertices[Group], MATCH(Edges[[#This Row],[Vertex 1]],GroupVertices[Vertex],0)),1,1,"")</f>
        <v>2</v>
      </c>
      <c r="P14" s="99" t="str">
        <f>REPLACE(INDEX(GroupVertices[Group], MATCH(Edges[[#This Row],[Vertex 2]],GroupVertices[Vertex],0)),1,1,"")</f>
        <v>2</v>
      </c>
      <c r="Q14" s="99"/>
    </row>
    <row r="15" spans="1:17" ht="14.25" customHeight="1" thickTop="1" thickBot="1" x14ac:dyDescent="0.3">
      <c r="A15" s="76" t="s">
        <v>212</v>
      </c>
      <c r="B15" s="76" t="s">
        <v>208</v>
      </c>
      <c r="C15" s="77"/>
      <c r="D15" s="78">
        <v>5</v>
      </c>
      <c r="E15" s="79"/>
      <c r="F15" s="80"/>
      <c r="G15" s="77"/>
      <c r="H15" s="81"/>
      <c r="I15" s="82"/>
      <c r="J15" s="82"/>
      <c r="K15" s="51"/>
      <c r="L15" s="83">
        <v>15</v>
      </c>
      <c r="M15" s="83"/>
      <c r="N15" s="84">
        <v>5</v>
      </c>
      <c r="O15" s="99" t="str">
        <f>REPLACE(INDEX(GroupVertices[Group], MATCH(Edges[[#This Row],[Vertex 1]],GroupVertices[Vertex],0)),1,1,"")</f>
        <v>1</v>
      </c>
      <c r="P15" s="99" t="str">
        <f>REPLACE(INDEX(GroupVertices[Group], MATCH(Edges[[#This Row],[Vertex 2]],GroupVertices[Vertex],0)),1,1,"")</f>
        <v>1</v>
      </c>
      <c r="Q15" s="99"/>
    </row>
    <row r="16" spans="1:17" ht="14.25" customHeight="1" thickTop="1" thickBot="1" x14ac:dyDescent="0.3">
      <c r="A16" s="76" t="s">
        <v>212</v>
      </c>
      <c r="B16" s="76" t="s">
        <v>213</v>
      </c>
      <c r="C16" s="77"/>
      <c r="D16" s="78">
        <v>1</v>
      </c>
      <c r="E16" s="79"/>
      <c r="F16" s="80"/>
      <c r="G16" s="77"/>
      <c r="H16" s="81"/>
      <c r="I16" s="82"/>
      <c r="J16" s="82"/>
      <c r="K16" s="51"/>
      <c r="L16" s="83">
        <v>16</v>
      </c>
      <c r="M16" s="83"/>
      <c r="N16" s="84">
        <v>1</v>
      </c>
      <c r="O16" s="99" t="str">
        <f>REPLACE(INDEX(GroupVertices[Group], MATCH(Edges[[#This Row],[Vertex 1]],GroupVertices[Vertex],0)),1,1,"")</f>
        <v>1</v>
      </c>
      <c r="P16" s="99" t="str">
        <f>REPLACE(INDEX(GroupVertices[Group], MATCH(Edges[[#This Row],[Vertex 2]],GroupVertices[Vertex],0)),1,1,"")</f>
        <v>1</v>
      </c>
      <c r="Q16" s="99"/>
    </row>
    <row r="17" spans="1:17" ht="14.25" customHeight="1" thickTop="1" thickBot="1" x14ac:dyDescent="0.3">
      <c r="A17" s="76" t="s">
        <v>216</v>
      </c>
      <c r="B17" s="76" t="s">
        <v>208</v>
      </c>
      <c r="C17" s="77"/>
      <c r="D17" s="78">
        <v>1</v>
      </c>
      <c r="E17" s="79"/>
      <c r="F17" s="80"/>
      <c r="G17" s="77"/>
      <c r="H17" s="81"/>
      <c r="I17" s="82"/>
      <c r="J17" s="82"/>
      <c r="K17" s="51"/>
      <c r="L17" s="83">
        <v>17</v>
      </c>
      <c r="M17" s="83"/>
      <c r="N17" s="84">
        <v>1</v>
      </c>
      <c r="O17" s="99" t="str">
        <f>REPLACE(INDEX(GroupVertices[Group], MATCH(Edges[[#This Row],[Vertex 1]],GroupVertices[Vertex],0)),1,1,"")</f>
        <v>1</v>
      </c>
      <c r="P17" s="99" t="str">
        <f>REPLACE(INDEX(GroupVertices[Group], MATCH(Edges[[#This Row],[Vertex 2]],GroupVertices[Vertex],0)),1,1,"")</f>
        <v>1</v>
      </c>
      <c r="Q17" s="99"/>
    </row>
    <row r="18" spans="1:17" ht="14.25" customHeight="1" thickTop="1" thickBot="1" x14ac:dyDescent="0.3">
      <c r="A18" s="104" t="s">
        <v>208</v>
      </c>
      <c r="B18" s="104" t="s">
        <v>213</v>
      </c>
      <c r="C18" s="105"/>
      <c r="D18" s="106">
        <v>3</v>
      </c>
      <c r="E18" s="107"/>
      <c r="F18" s="108"/>
      <c r="G18" s="105"/>
      <c r="H18" s="109"/>
      <c r="I18" s="110"/>
      <c r="J18" s="110"/>
      <c r="K18" s="111"/>
      <c r="L18" s="102">
        <v>18</v>
      </c>
      <c r="M18" s="102"/>
      <c r="N18" s="113">
        <v>3</v>
      </c>
      <c r="O18" s="99" t="str">
        <f>REPLACE(INDEX(GroupVertices[Group], MATCH(Edges[[#This Row],[Vertex 1]],GroupVertices[Vertex],0)),1,1,"")</f>
        <v>1</v>
      </c>
      <c r="P18" s="99" t="str">
        <f>REPLACE(INDEX(GroupVertices[Group], MATCH(Edges[[#This Row],[Vertex 2]],GroupVertices[Vertex],0)),1,1,"")</f>
        <v>1</v>
      </c>
      <c r="Q18" s="103"/>
    </row>
    <row r="19" spans="1:17" ht="14.25" customHeight="1" thickTop="1" thickBot="1" x14ac:dyDescent="0.3">
      <c r="A19" s="104"/>
      <c r="B19" s="104"/>
      <c r="C19" s="105"/>
      <c r="D19" s="106"/>
      <c r="E19" s="107"/>
      <c r="F19" s="108"/>
      <c r="G19" s="105"/>
      <c r="H19" s="109"/>
      <c r="I19" s="110"/>
      <c r="J19" s="110"/>
      <c r="K19" s="111"/>
      <c r="L19" s="102">
        <v>19</v>
      </c>
      <c r="M19" s="102"/>
      <c r="N19" s="113"/>
      <c r="O19" s="99" t="e">
        <f>REPLACE(INDEX(GroupVertices[Group], MATCH(Edges[[#This Row],[Vertex 1]],GroupVertices[Vertex],0)),1,1,"")</f>
        <v>#N/A</v>
      </c>
      <c r="P19" s="99" t="e">
        <f>REPLACE(INDEX(GroupVertices[Group], MATCH(Edges[[#This Row],[Vertex 2]],GroupVertices[Vertex],0)),1,1,"")</f>
        <v>#N/A</v>
      </c>
      <c r="Q19" s="103"/>
    </row>
    <row r="20" spans="1:17" ht="14.25" customHeight="1" thickTop="1" thickBot="1" x14ac:dyDescent="0.3">
      <c r="A20" s="104"/>
      <c r="B20" s="104"/>
      <c r="C20" s="105"/>
      <c r="D20" s="106"/>
      <c r="E20" s="107"/>
      <c r="F20" s="108"/>
      <c r="G20" s="105"/>
      <c r="H20" s="109"/>
      <c r="I20" s="110"/>
      <c r="J20" s="110"/>
      <c r="K20" s="111"/>
      <c r="L20" s="102">
        <v>20</v>
      </c>
      <c r="M20" s="102"/>
      <c r="N20" s="113"/>
      <c r="O20" s="99" t="e">
        <f>REPLACE(INDEX(GroupVertices[Group], MATCH(Edges[[#This Row],[Vertex 1]],GroupVertices[Vertex],0)),1,1,"")</f>
        <v>#N/A</v>
      </c>
      <c r="P20" s="99" t="e">
        <f>REPLACE(INDEX(GroupVertices[Group], MATCH(Edges[[#This Row],[Vertex 2]],GroupVertices[Vertex],0)),1,1,"")</f>
        <v>#N/A</v>
      </c>
      <c r="Q20" s="103"/>
    </row>
    <row r="21" spans="1:17" ht="14.25" customHeight="1" thickTop="1" thickBot="1" x14ac:dyDescent="0.3">
      <c r="A21" s="104"/>
      <c r="B21" s="104"/>
      <c r="C21" s="105"/>
      <c r="D21" s="106"/>
      <c r="E21" s="107"/>
      <c r="F21" s="108"/>
      <c r="G21" s="105"/>
      <c r="H21" s="109"/>
      <c r="I21" s="110"/>
      <c r="J21" s="110"/>
      <c r="K21" s="111"/>
      <c r="L21" s="102">
        <v>21</v>
      </c>
      <c r="M21" s="102"/>
      <c r="N21" s="113"/>
      <c r="O21" s="99" t="e">
        <f>REPLACE(INDEX(GroupVertices[Group], MATCH(Edges[[#This Row],[Vertex 1]],GroupVertices[Vertex],0)),1,1,"")</f>
        <v>#N/A</v>
      </c>
      <c r="P21" s="99" t="e">
        <f>REPLACE(INDEX(GroupVertices[Group], MATCH(Edges[[#This Row],[Vertex 2]],GroupVertices[Vertex],0)),1,1,"")</f>
        <v>#N/A</v>
      </c>
      <c r="Q21" s="103"/>
    </row>
    <row r="22" spans="1:17" ht="14.25" customHeight="1" thickTop="1" thickBot="1" x14ac:dyDescent="0.3">
      <c r="A22" s="104"/>
      <c r="B22" s="104"/>
      <c r="C22" s="105"/>
      <c r="D22" s="106"/>
      <c r="E22" s="107"/>
      <c r="F22" s="108"/>
      <c r="G22" s="105"/>
      <c r="H22" s="109"/>
      <c r="I22" s="110"/>
      <c r="J22" s="110"/>
      <c r="K22" s="111"/>
      <c r="L22" s="102">
        <v>22</v>
      </c>
      <c r="M22" s="102"/>
      <c r="N22" s="113"/>
      <c r="O22" s="99" t="e">
        <f>REPLACE(INDEX(GroupVertices[Group], MATCH(Edges[[#This Row],[Vertex 1]],GroupVertices[Vertex],0)),1,1,"")</f>
        <v>#N/A</v>
      </c>
      <c r="P22" s="99" t="e">
        <f>REPLACE(INDEX(GroupVertices[Group], MATCH(Edges[[#This Row],[Vertex 2]],GroupVertices[Vertex],0)),1,1,"")</f>
        <v>#N/A</v>
      </c>
      <c r="Q22" s="103"/>
    </row>
    <row r="23" spans="1:17" ht="14.25" customHeight="1" thickTop="1" thickBot="1" x14ac:dyDescent="0.3">
      <c r="A23" s="104"/>
      <c r="B23" s="104"/>
      <c r="C23" s="105"/>
      <c r="D23" s="106"/>
      <c r="E23" s="107"/>
      <c r="F23" s="108"/>
      <c r="G23" s="105"/>
      <c r="H23" s="109"/>
      <c r="I23" s="110"/>
      <c r="J23" s="110"/>
      <c r="K23" s="111"/>
      <c r="L23" s="102">
        <v>23</v>
      </c>
      <c r="M23" s="102"/>
      <c r="N23" s="113"/>
      <c r="O23" s="99" t="e">
        <f>REPLACE(INDEX(GroupVertices[Group], MATCH(Edges[[#This Row],[Vertex 1]],GroupVertices[Vertex],0)),1,1,"")</f>
        <v>#N/A</v>
      </c>
      <c r="P23" s="99" t="e">
        <f>REPLACE(INDEX(GroupVertices[Group], MATCH(Edges[[#This Row],[Vertex 2]],GroupVertices[Vertex],0)),1,1,"")</f>
        <v>#N/A</v>
      </c>
      <c r="Q23" s="103"/>
    </row>
    <row r="24" spans="1:17" ht="14.25" customHeight="1" thickTop="1" thickBot="1" x14ac:dyDescent="0.3">
      <c r="A24" s="104"/>
      <c r="B24" s="104"/>
      <c r="C24" s="105"/>
      <c r="D24" s="106"/>
      <c r="E24" s="107"/>
      <c r="F24" s="108"/>
      <c r="G24" s="105"/>
      <c r="H24" s="109"/>
      <c r="I24" s="110"/>
      <c r="J24" s="110"/>
      <c r="K24" s="111"/>
      <c r="L24" s="102">
        <v>24</v>
      </c>
      <c r="M24" s="102"/>
      <c r="N24" s="113"/>
      <c r="O24" s="99" t="e">
        <f>REPLACE(INDEX(GroupVertices[Group], MATCH(Edges[[#This Row],[Vertex 1]],GroupVertices[Vertex],0)),1,1,"")</f>
        <v>#N/A</v>
      </c>
      <c r="P24" s="99" t="e">
        <f>REPLACE(INDEX(GroupVertices[Group], MATCH(Edges[[#This Row],[Vertex 2]],GroupVertices[Vertex],0)),1,1,"")</f>
        <v>#N/A</v>
      </c>
      <c r="Q24" s="103"/>
    </row>
    <row r="25" spans="1:17" ht="14.25" customHeight="1" thickTop="1" thickBot="1" x14ac:dyDescent="0.3">
      <c r="A25" s="104"/>
      <c r="B25" s="104"/>
      <c r="C25" s="105"/>
      <c r="D25" s="106"/>
      <c r="E25" s="107"/>
      <c r="F25" s="108"/>
      <c r="G25" s="105"/>
      <c r="H25" s="109"/>
      <c r="I25" s="110"/>
      <c r="J25" s="110"/>
      <c r="K25" s="111"/>
      <c r="L25" s="102">
        <v>25</v>
      </c>
      <c r="M25" s="102"/>
      <c r="N25" s="113"/>
      <c r="O25" s="99" t="e">
        <f>REPLACE(INDEX(GroupVertices[Group], MATCH(Edges[[#This Row],[Vertex 1]],GroupVertices[Vertex],0)),1,1,"")</f>
        <v>#N/A</v>
      </c>
      <c r="P25" s="99" t="e">
        <f>REPLACE(INDEX(GroupVertices[Group], MATCH(Edges[[#This Row],[Vertex 2]],GroupVertices[Vertex],0)),1,1,"")</f>
        <v>#N/A</v>
      </c>
      <c r="Q25" s="103"/>
    </row>
    <row r="26" spans="1:17" ht="14.25" customHeight="1" thickTop="1" thickBot="1" x14ac:dyDescent="0.3">
      <c r="A26" s="104"/>
      <c r="B26" s="104"/>
      <c r="C26" s="105"/>
      <c r="D26" s="106"/>
      <c r="E26" s="107"/>
      <c r="F26" s="108"/>
      <c r="G26" s="105"/>
      <c r="H26" s="109"/>
      <c r="I26" s="110"/>
      <c r="J26" s="110"/>
      <c r="K26" s="111"/>
      <c r="L26" s="102">
        <v>26</v>
      </c>
      <c r="M26" s="102"/>
      <c r="N26" s="113"/>
      <c r="O26" s="99" t="e">
        <f>REPLACE(INDEX(GroupVertices[Group], MATCH(Edges[[#This Row],[Vertex 1]],GroupVertices[Vertex],0)),1,1,"")</f>
        <v>#N/A</v>
      </c>
      <c r="P26" s="99" t="e">
        <f>REPLACE(INDEX(GroupVertices[Group], MATCH(Edges[[#This Row],[Vertex 2]],GroupVertices[Vertex],0)),1,1,"")</f>
        <v>#N/A</v>
      </c>
      <c r="Q26" s="103"/>
    </row>
    <row r="27" spans="1:17" ht="14.25" customHeight="1" thickTop="1" thickBot="1" x14ac:dyDescent="0.3">
      <c r="A27" s="104"/>
      <c r="B27" s="104"/>
      <c r="C27" s="105"/>
      <c r="D27" s="106"/>
      <c r="E27" s="107"/>
      <c r="F27" s="108"/>
      <c r="G27" s="105"/>
      <c r="H27" s="109"/>
      <c r="I27" s="110"/>
      <c r="J27" s="110"/>
      <c r="K27" s="111"/>
      <c r="L27" s="102">
        <v>27</v>
      </c>
      <c r="M27" s="102"/>
      <c r="N27" s="113"/>
      <c r="O27" s="99" t="e">
        <f>REPLACE(INDEX(GroupVertices[Group], MATCH(Edges[[#This Row],[Vertex 1]],GroupVertices[Vertex],0)),1,1,"")</f>
        <v>#N/A</v>
      </c>
      <c r="P27" s="99" t="e">
        <f>REPLACE(INDEX(GroupVertices[Group], MATCH(Edges[[#This Row],[Vertex 2]],GroupVertices[Vertex],0)),1,1,"")</f>
        <v>#N/A</v>
      </c>
      <c r="Q27" s="103"/>
    </row>
    <row r="28" spans="1:17" ht="14.25" customHeight="1" thickTop="1" thickBot="1" x14ac:dyDescent="0.3">
      <c r="A28" s="104"/>
      <c r="B28" s="104"/>
      <c r="C28" s="105"/>
      <c r="D28" s="106"/>
      <c r="E28" s="107"/>
      <c r="F28" s="108"/>
      <c r="G28" s="105"/>
      <c r="H28" s="109"/>
      <c r="I28" s="110"/>
      <c r="J28" s="110"/>
      <c r="K28" s="111"/>
      <c r="L28" s="102">
        <v>28</v>
      </c>
      <c r="M28" s="102"/>
      <c r="N28" s="113"/>
      <c r="O28" s="99" t="e">
        <f>REPLACE(INDEX(GroupVertices[Group], MATCH(Edges[[#This Row],[Vertex 1]],GroupVertices[Vertex],0)),1,1,"")</f>
        <v>#N/A</v>
      </c>
      <c r="P28" s="99" t="e">
        <f>REPLACE(INDEX(GroupVertices[Group], MATCH(Edges[[#This Row],[Vertex 2]],GroupVertices[Vertex],0)),1,1,"")</f>
        <v>#N/A</v>
      </c>
      <c r="Q28" s="103"/>
    </row>
    <row r="29" spans="1:17" ht="14.25" customHeight="1" thickTop="1" thickBot="1" x14ac:dyDescent="0.3">
      <c r="A29" s="104"/>
      <c r="B29" s="104"/>
      <c r="C29" s="105"/>
      <c r="D29" s="106"/>
      <c r="E29" s="107"/>
      <c r="F29" s="108"/>
      <c r="G29" s="105"/>
      <c r="H29" s="109"/>
      <c r="I29" s="110"/>
      <c r="J29" s="110"/>
      <c r="K29" s="111"/>
      <c r="L29" s="102">
        <v>29</v>
      </c>
      <c r="M29" s="102"/>
      <c r="N29" s="113"/>
      <c r="O29" s="99" t="e">
        <f>REPLACE(INDEX(GroupVertices[Group], MATCH(Edges[[#This Row],[Vertex 1]],GroupVertices[Vertex],0)),1,1,"")</f>
        <v>#N/A</v>
      </c>
      <c r="P29" s="99" t="e">
        <f>REPLACE(INDEX(GroupVertices[Group], MATCH(Edges[[#This Row],[Vertex 2]],GroupVertices[Vertex],0)),1,1,"")</f>
        <v>#N/A</v>
      </c>
      <c r="Q29" s="103"/>
    </row>
    <row r="30" spans="1:17" ht="14.25" customHeight="1" thickTop="1" thickBot="1" x14ac:dyDescent="0.3">
      <c r="A30" s="104"/>
      <c r="B30" s="104"/>
      <c r="C30" s="105"/>
      <c r="D30" s="106"/>
      <c r="E30" s="107"/>
      <c r="F30" s="108"/>
      <c r="G30" s="105"/>
      <c r="H30" s="109"/>
      <c r="I30" s="110"/>
      <c r="J30" s="110"/>
      <c r="K30" s="111"/>
      <c r="L30" s="102">
        <v>30</v>
      </c>
      <c r="M30" s="102"/>
      <c r="N30" s="113"/>
      <c r="O30" s="99" t="e">
        <f>REPLACE(INDEX(GroupVertices[Group], MATCH(Edges[[#This Row],[Vertex 1]],GroupVertices[Vertex],0)),1,1,"")</f>
        <v>#N/A</v>
      </c>
      <c r="P30" s="99" t="e">
        <f>REPLACE(INDEX(GroupVertices[Group], MATCH(Edges[[#This Row],[Vertex 2]],GroupVertices[Vertex],0)),1,1,"")</f>
        <v>#N/A</v>
      </c>
      <c r="Q30" s="103"/>
    </row>
    <row r="31" spans="1:17" ht="14.25" customHeight="1" thickTop="1" thickBot="1" x14ac:dyDescent="0.3">
      <c r="A31" s="104"/>
      <c r="B31" s="104"/>
      <c r="C31" s="105"/>
      <c r="D31" s="106"/>
      <c r="E31" s="107"/>
      <c r="F31" s="108"/>
      <c r="G31" s="105"/>
      <c r="H31" s="109"/>
      <c r="I31" s="110"/>
      <c r="J31" s="110"/>
      <c r="K31" s="111"/>
      <c r="L31" s="102">
        <v>31</v>
      </c>
      <c r="M31" s="102"/>
      <c r="N31" s="113"/>
      <c r="O31" s="99" t="e">
        <f>REPLACE(INDEX(GroupVertices[Group], MATCH(Edges[[#This Row],[Vertex 1]],GroupVertices[Vertex],0)),1,1,"")</f>
        <v>#N/A</v>
      </c>
      <c r="P31" s="99" t="e">
        <f>REPLACE(INDEX(GroupVertices[Group], MATCH(Edges[[#This Row],[Vertex 2]],GroupVertices[Vertex],0)),1,1,"")</f>
        <v>#N/A</v>
      </c>
      <c r="Q31" s="103"/>
    </row>
    <row r="32" spans="1:17" ht="14.25" customHeight="1" thickTop="1" thickBot="1" x14ac:dyDescent="0.3">
      <c r="A32" s="104"/>
      <c r="B32" s="104"/>
      <c r="C32" s="105"/>
      <c r="D32" s="106"/>
      <c r="E32" s="107"/>
      <c r="F32" s="108"/>
      <c r="G32" s="105"/>
      <c r="H32" s="109"/>
      <c r="I32" s="110"/>
      <c r="J32" s="110"/>
      <c r="K32" s="111"/>
      <c r="L32" s="102">
        <v>32</v>
      </c>
      <c r="M32" s="102"/>
      <c r="N32" s="113"/>
      <c r="O32" s="99" t="e">
        <f>REPLACE(INDEX(GroupVertices[Group], MATCH(Edges[[#This Row],[Vertex 1]],GroupVertices[Vertex],0)),1,1,"")</f>
        <v>#N/A</v>
      </c>
      <c r="P32" s="99" t="e">
        <f>REPLACE(INDEX(GroupVertices[Group], MATCH(Edges[[#This Row],[Vertex 2]],GroupVertices[Vertex],0)),1,1,"")</f>
        <v>#N/A</v>
      </c>
      <c r="Q32" s="103"/>
    </row>
    <row r="33" spans="1:17" ht="14.25" customHeight="1" thickTop="1" thickBot="1" x14ac:dyDescent="0.3">
      <c r="A33" s="104"/>
      <c r="B33" s="104"/>
      <c r="C33" s="105"/>
      <c r="D33" s="106"/>
      <c r="E33" s="107"/>
      <c r="F33" s="108"/>
      <c r="G33" s="105"/>
      <c r="H33" s="109"/>
      <c r="I33" s="110"/>
      <c r="J33" s="110"/>
      <c r="K33" s="111"/>
      <c r="L33" s="102">
        <v>33</v>
      </c>
      <c r="M33" s="102"/>
      <c r="N33" s="113"/>
      <c r="O33" s="99" t="e">
        <f>REPLACE(INDEX(GroupVertices[Group], MATCH(Edges[[#This Row],[Vertex 1]],GroupVertices[Vertex],0)),1,1,"")</f>
        <v>#N/A</v>
      </c>
      <c r="P33" s="99" t="e">
        <f>REPLACE(INDEX(GroupVertices[Group], MATCH(Edges[[#This Row],[Vertex 2]],GroupVertices[Vertex],0)),1,1,"")</f>
        <v>#N/A</v>
      </c>
      <c r="Q33" s="103"/>
    </row>
    <row r="34" spans="1:17" ht="14.25" customHeight="1" thickTop="1" thickBot="1" x14ac:dyDescent="0.3">
      <c r="A34" s="104"/>
      <c r="B34" s="104"/>
      <c r="C34" s="105"/>
      <c r="D34" s="106"/>
      <c r="E34" s="107"/>
      <c r="F34" s="108"/>
      <c r="G34" s="105"/>
      <c r="H34" s="109"/>
      <c r="I34" s="110"/>
      <c r="J34" s="110"/>
      <c r="K34" s="111"/>
      <c r="L34" s="102">
        <v>34</v>
      </c>
      <c r="M34" s="102"/>
      <c r="N34" s="113"/>
      <c r="O34" s="99" t="e">
        <f>REPLACE(INDEX(GroupVertices[Group], MATCH(Edges[[#This Row],[Vertex 1]],GroupVertices[Vertex],0)),1,1,"")</f>
        <v>#N/A</v>
      </c>
      <c r="P34" s="99" t="e">
        <f>REPLACE(INDEX(GroupVertices[Group], MATCH(Edges[[#This Row],[Vertex 2]],GroupVertices[Vertex],0)),1,1,"")</f>
        <v>#N/A</v>
      </c>
      <c r="Q34" s="103"/>
    </row>
    <row r="35" spans="1:17" ht="14.25" customHeight="1" thickTop="1" thickBot="1" x14ac:dyDescent="0.3">
      <c r="A35" s="104"/>
      <c r="B35" s="104"/>
      <c r="C35" s="105"/>
      <c r="D35" s="106"/>
      <c r="E35" s="107"/>
      <c r="F35" s="108"/>
      <c r="G35" s="105"/>
      <c r="H35" s="109"/>
      <c r="I35" s="110"/>
      <c r="J35" s="110"/>
      <c r="K35" s="111"/>
      <c r="L35" s="102">
        <v>35</v>
      </c>
      <c r="M35" s="102"/>
      <c r="N35" s="113"/>
      <c r="O35" s="99" t="e">
        <f>REPLACE(INDEX(GroupVertices[Group], MATCH(Edges[[#This Row],[Vertex 1]],GroupVertices[Vertex],0)),1,1,"")</f>
        <v>#N/A</v>
      </c>
      <c r="P35" s="99" t="e">
        <f>REPLACE(INDEX(GroupVertices[Group], MATCH(Edges[[#This Row],[Vertex 2]],GroupVertices[Vertex],0)),1,1,"")</f>
        <v>#N/A</v>
      </c>
      <c r="Q35" s="103"/>
    </row>
    <row r="36" spans="1:17" ht="14.25" customHeight="1" thickTop="1" thickBot="1" x14ac:dyDescent="0.3">
      <c r="A36" s="104"/>
      <c r="B36" s="104"/>
      <c r="C36" s="105"/>
      <c r="D36" s="106"/>
      <c r="E36" s="107"/>
      <c r="F36" s="108"/>
      <c r="G36" s="105"/>
      <c r="H36" s="109"/>
      <c r="I36" s="110"/>
      <c r="J36" s="110"/>
      <c r="K36" s="111"/>
      <c r="L36" s="102">
        <v>36</v>
      </c>
      <c r="M36" s="102"/>
      <c r="N36" s="113"/>
      <c r="O36" s="99" t="e">
        <f>REPLACE(INDEX(GroupVertices[Group], MATCH(Edges[[#This Row],[Vertex 1]],GroupVertices[Vertex],0)),1,1,"")</f>
        <v>#N/A</v>
      </c>
      <c r="P36" s="99" t="e">
        <f>REPLACE(INDEX(GroupVertices[Group], MATCH(Edges[[#This Row],[Vertex 2]],GroupVertices[Vertex],0)),1,1,"")</f>
        <v>#N/A</v>
      </c>
      <c r="Q36" s="103"/>
    </row>
    <row r="37" spans="1:17" ht="14.2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36"/>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36"/>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36"/>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36"/>
    <dataValidation allowBlank="1" showInputMessage="1" promptTitle="Edge Color" prompt="To select an optional edge color, right-click and select Select Color on the right-click menu." sqref="C3:C36"/>
    <dataValidation allowBlank="1" showInputMessage="1" errorTitle="Invalid Edge Width" error="The optional edge width must be a whole number between 1 and 10." promptTitle="Edge Width" prompt="Enter an optional edge width between 1 and 10." sqref="D3:D36"/>
    <dataValidation allowBlank="1" showInputMessage="1" errorTitle="Invalid Edge Opacity" error="The optional edge opacity must be a whole number between 0 and 10." promptTitle="Edge Opacity" prompt="Enter an optional edge opacity between 0 (transparent) and 100 (opaque)." sqref="F3:F36"/>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36">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36"/>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36">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36"/>
  </dataValidations>
  <pageMargins left="0.7" right="0.7" top="0.75" bottom="0.75" header="0.3" footer="0.3"/>
  <pageSetup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61"/>
  <sheetViews>
    <sheetView workbookViewId="0">
      <pane xSplit="1" ySplit="2" topLeftCell="B3" activePane="bottomRight" state="frozen"/>
      <selection pane="topRight" activeCell="B1" sqref="B1"/>
      <selection pane="bottomLeft" activeCell="A3" sqref="A3"/>
      <selection pane="bottomRight" activeCell="A19" sqref="A19"/>
    </sheetView>
  </sheetViews>
  <sheetFormatPr defaultRowHeight="15" x14ac:dyDescent="0.25"/>
  <cols>
    <col min="1" max="1" width="60.85546875" style="1" bestFit="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192</v>
      </c>
      <c r="AG2"/>
      <c r="AH2"/>
    </row>
    <row r="3" spans="1:35" ht="15" customHeight="1" x14ac:dyDescent="0.25">
      <c r="A3" s="48" t="s">
        <v>200</v>
      </c>
      <c r="B3" s="51"/>
      <c r="C3" s="51"/>
      <c r="D3" s="52">
        <v>1.5</v>
      </c>
      <c r="E3" s="53"/>
      <c r="F3" s="51"/>
      <c r="G3" s="51"/>
      <c r="H3" s="55"/>
      <c r="I3" s="54"/>
      <c r="J3" s="54"/>
      <c r="K3" s="55"/>
      <c r="L3" s="57"/>
      <c r="M3" s="58">
        <v>4999.5</v>
      </c>
      <c r="N3" s="58">
        <v>4999.5</v>
      </c>
      <c r="O3" s="56"/>
      <c r="P3" s="59"/>
      <c r="Q3" s="59"/>
      <c r="R3" s="49">
        <v>1</v>
      </c>
      <c r="S3" s="49"/>
      <c r="T3" s="49"/>
      <c r="U3" s="50">
        <v>0</v>
      </c>
      <c r="V3" s="50">
        <v>1</v>
      </c>
      <c r="W3" s="50">
        <v>0</v>
      </c>
      <c r="X3" s="50">
        <v>0.99997100000000005</v>
      </c>
      <c r="Y3" s="50">
        <v>0</v>
      </c>
      <c r="Z3" s="50"/>
      <c r="AA3" s="60">
        <v>3</v>
      </c>
      <c r="AB3" s="60"/>
      <c r="AC3" s="61"/>
      <c r="AD3" s="99" t="str">
        <f>REPLACE(INDEX(GroupVertices[Group], MATCH(Vertices[[#This Row],[Vertex]],GroupVertices[Vertex],0)),1,1,"")</f>
        <v>3</v>
      </c>
      <c r="AG3"/>
      <c r="AH3"/>
    </row>
    <row r="4" spans="1:35" x14ac:dyDescent="0.25">
      <c r="A4" s="1" t="s">
        <v>201</v>
      </c>
      <c r="D4">
        <v>1.5</v>
      </c>
      <c r="G4" s="51"/>
      <c r="M4">
        <v>5106.02734375</v>
      </c>
      <c r="N4">
        <v>4740.88916015625</v>
      </c>
      <c r="R4" s="49">
        <v>1</v>
      </c>
      <c r="U4" s="50">
        <v>0</v>
      </c>
      <c r="V4" s="50">
        <v>1</v>
      </c>
      <c r="W4" s="50">
        <v>0</v>
      </c>
      <c r="X4" s="50">
        <v>0.99997100000000005</v>
      </c>
      <c r="Y4" s="50">
        <v>0</v>
      </c>
      <c r="AA4" s="3">
        <v>4</v>
      </c>
      <c r="AD4" s="99" t="str">
        <f>REPLACE(INDEX(GroupVertices[Group], MATCH(Vertices[[#This Row],[Vertex]],GroupVertices[Vertex],0)),1,1,"")</f>
        <v>3</v>
      </c>
      <c r="AE4" s="2"/>
      <c r="AI4" s="3"/>
    </row>
    <row r="5" spans="1:35" x14ac:dyDescent="0.25">
      <c r="A5" s="1" t="s">
        <v>202</v>
      </c>
      <c r="D5">
        <v>2.916666666666667</v>
      </c>
      <c r="G5" s="51"/>
      <c r="M5">
        <v>4711.451171875</v>
      </c>
      <c r="N5">
        <v>4538.408203125</v>
      </c>
      <c r="R5" s="49">
        <v>2</v>
      </c>
      <c r="U5" s="50">
        <v>2</v>
      </c>
      <c r="V5" s="50">
        <v>0.25</v>
      </c>
      <c r="W5" s="50">
        <v>0</v>
      </c>
      <c r="X5" s="50">
        <v>1.2982070000000001</v>
      </c>
      <c r="Y5" s="50">
        <v>0</v>
      </c>
      <c r="AA5" s="3">
        <v>5</v>
      </c>
      <c r="AD5" s="99" t="str">
        <f>REPLACE(INDEX(GroupVertices[Group], MATCH(Vertices[[#This Row],[Vertex]],GroupVertices[Vertex],0)),1,1,"")</f>
        <v>2</v>
      </c>
      <c r="AE5" s="2"/>
      <c r="AI5" s="3"/>
    </row>
    <row r="6" spans="1:35" x14ac:dyDescent="0.25">
      <c r="A6" s="1" t="s">
        <v>203</v>
      </c>
      <c r="D6">
        <v>1.5</v>
      </c>
      <c r="G6" s="51"/>
      <c r="M6">
        <v>4294.7333984375</v>
      </c>
      <c r="N6">
        <v>5158.7548828125</v>
      </c>
      <c r="R6" s="49">
        <v>1</v>
      </c>
      <c r="U6" s="50">
        <v>0</v>
      </c>
      <c r="V6" s="50">
        <v>0.16666700000000001</v>
      </c>
      <c r="W6" s="50">
        <v>0</v>
      </c>
      <c r="X6" s="50">
        <v>0.701735</v>
      </c>
      <c r="Y6" s="50">
        <v>0</v>
      </c>
      <c r="AA6" s="3">
        <v>6</v>
      </c>
      <c r="AD6" s="99" t="str">
        <f>REPLACE(INDEX(GroupVertices[Group], MATCH(Vertices[[#This Row],[Vertex]],GroupVertices[Vertex],0)),1,1,"")</f>
        <v>2</v>
      </c>
      <c r="AE6" s="2"/>
      <c r="AI6" s="3"/>
    </row>
    <row r="7" spans="1:35" x14ac:dyDescent="0.25">
      <c r="A7" s="1" t="s">
        <v>204</v>
      </c>
      <c r="D7">
        <v>2.916666666666667</v>
      </c>
      <c r="G7" s="51"/>
      <c r="M7">
        <v>4737.8876953125</v>
      </c>
      <c r="N7">
        <v>6110.9794921875</v>
      </c>
      <c r="R7" s="49">
        <v>2</v>
      </c>
      <c r="U7" s="50">
        <v>2</v>
      </c>
      <c r="V7" s="50">
        <v>0.25</v>
      </c>
      <c r="W7" s="50">
        <v>0</v>
      </c>
      <c r="X7" s="50">
        <v>1.2982070000000001</v>
      </c>
      <c r="Y7" s="50">
        <v>0</v>
      </c>
      <c r="AA7" s="3">
        <v>7</v>
      </c>
      <c r="AD7" s="99" t="str">
        <f>REPLACE(INDEX(GroupVertices[Group], MATCH(Vertices[[#This Row],[Vertex]],GroupVertices[Vertex],0)),1,1,"")</f>
        <v>2</v>
      </c>
      <c r="AE7" s="2"/>
      <c r="AI7" s="3"/>
    </row>
    <row r="8" spans="1:35" x14ac:dyDescent="0.25">
      <c r="A8" s="1" t="s">
        <v>205</v>
      </c>
      <c r="D8">
        <v>1.5</v>
      </c>
      <c r="G8" s="51"/>
      <c r="M8">
        <v>5882.583984375</v>
      </c>
      <c r="N8">
        <v>5972.64794921875</v>
      </c>
      <c r="R8" s="49">
        <v>1</v>
      </c>
      <c r="U8" s="50">
        <v>0</v>
      </c>
      <c r="V8" s="50">
        <v>1</v>
      </c>
      <c r="W8" s="50">
        <v>0</v>
      </c>
      <c r="X8" s="50">
        <v>0.99997100000000005</v>
      </c>
      <c r="Y8" s="50">
        <v>0</v>
      </c>
      <c r="AA8" s="3">
        <v>8</v>
      </c>
      <c r="AD8" s="99" t="str">
        <f>REPLACE(INDEX(GroupVertices[Group], MATCH(Vertices[[#This Row],[Vertex]],GroupVertices[Vertex],0)),1,1,"")</f>
        <v>4</v>
      </c>
      <c r="AE8" s="2"/>
      <c r="AI8" s="3"/>
    </row>
    <row r="9" spans="1:35" x14ac:dyDescent="0.25">
      <c r="A9" s="1" t="s">
        <v>206</v>
      </c>
      <c r="D9">
        <v>1.5</v>
      </c>
      <c r="G9" s="51"/>
      <c r="M9">
        <v>6336.61669921875</v>
      </c>
      <c r="N9">
        <v>4373.3271484375</v>
      </c>
      <c r="R9" s="49">
        <v>1</v>
      </c>
      <c r="U9" s="50">
        <v>0</v>
      </c>
      <c r="V9" s="50">
        <v>1</v>
      </c>
      <c r="W9" s="50">
        <v>0</v>
      </c>
      <c r="X9" s="50">
        <v>0.99997100000000005</v>
      </c>
      <c r="Y9" s="50">
        <v>0</v>
      </c>
      <c r="AA9" s="3">
        <v>9</v>
      </c>
      <c r="AD9" s="99" t="str">
        <f>REPLACE(INDEX(GroupVertices[Group], MATCH(Vertices[[#This Row],[Vertex]],GroupVertices[Vertex],0)),1,1,"")</f>
        <v>4</v>
      </c>
      <c r="AE9" s="2"/>
      <c r="AI9" s="3"/>
    </row>
    <row r="10" spans="1:35" x14ac:dyDescent="0.25">
      <c r="A10" s="1" t="s">
        <v>207</v>
      </c>
      <c r="D10">
        <v>1.5</v>
      </c>
      <c r="G10" s="51"/>
      <c r="M10">
        <v>5153.859375</v>
      </c>
      <c r="N10">
        <v>2985.83740234375</v>
      </c>
      <c r="R10" s="49">
        <v>1</v>
      </c>
      <c r="U10" s="50">
        <v>0</v>
      </c>
      <c r="V10" s="50">
        <v>6.25E-2</v>
      </c>
      <c r="W10" s="50">
        <v>6.6034999999999996E-2</v>
      </c>
      <c r="X10" s="50">
        <v>0.48067500000000002</v>
      </c>
      <c r="Y10" s="50">
        <v>0</v>
      </c>
      <c r="AA10" s="3">
        <v>10</v>
      </c>
      <c r="AD10" s="99" t="str">
        <f>REPLACE(INDEX(GroupVertices[Group], MATCH(Vertices[[#This Row],[Vertex]],GroupVertices[Vertex],0)),1,1,"")</f>
        <v>1</v>
      </c>
      <c r="AE10" s="2"/>
      <c r="AI10" s="3"/>
    </row>
    <row r="11" spans="1:35" x14ac:dyDescent="0.25">
      <c r="A11" s="1" t="s">
        <v>208</v>
      </c>
      <c r="D11">
        <v>10</v>
      </c>
      <c r="G11" s="51"/>
      <c r="M11">
        <v>3373.943359375</v>
      </c>
      <c r="N11">
        <v>3782.816650390625</v>
      </c>
      <c r="R11" s="49">
        <v>7</v>
      </c>
      <c r="U11" s="50">
        <v>24</v>
      </c>
      <c r="V11" s="50">
        <v>0.111111</v>
      </c>
      <c r="W11" s="50">
        <v>0.223326</v>
      </c>
      <c r="X11" s="50">
        <v>2.723217</v>
      </c>
      <c r="Y11" s="50">
        <v>0.14285714285714285</v>
      </c>
      <c r="AA11" s="3">
        <v>11</v>
      </c>
      <c r="AD11" s="99" t="str">
        <f>REPLACE(INDEX(GroupVertices[Group], MATCH(Vertices[[#This Row],[Vertex]],GroupVertices[Vertex],0)),1,1,"")</f>
        <v>1</v>
      </c>
      <c r="AE11" s="2"/>
      <c r="AI11" s="3"/>
    </row>
    <row r="12" spans="1:35" x14ac:dyDescent="0.25">
      <c r="A12" s="1" t="s">
        <v>209</v>
      </c>
      <c r="B12" s="3"/>
      <c r="C12" s="3"/>
      <c r="D12" s="6">
        <v>2.916666666666667</v>
      </c>
      <c r="E12" s="2"/>
      <c r="F12" s="3"/>
      <c r="G12" s="51"/>
      <c r="H12" s="1"/>
      <c r="I12" s="3"/>
      <c r="K12" s="1"/>
      <c r="L12" s="6"/>
      <c r="M12" s="86">
        <v>3170.74853515625</v>
      </c>
      <c r="N12" s="86">
        <v>6368.2685546875</v>
      </c>
      <c r="O12" s="3"/>
      <c r="P12" s="87"/>
      <c r="Q12" s="121"/>
      <c r="R12" s="49">
        <v>2</v>
      </c>
      <c r="S12" s="123"/>
      <c r="T12" s="123"/>
      <c r="U12" s="50">
        <v>7</v>
      </c>
      <c r="V12" s="50">
        <v>7.1429000000000006E-2</v>
      </c>
      <c r="W12" s="50">
        <v>7.2361999999999996E-2</v>
      </c>
      <c r="X12" s="50">
        <v>0.95212699999999995</v>
      </c>
      <c r="Y12" s="50">
        <v>0</v>
      </c>
      <c r="Z12" s="125"/>
      <c r="AA12" s="3">
        <v>12</v>
      </c>
      <c r="AC12" s="3"/>
      <c r="AD12" s="99" t="str">
        <f>REPLACE(INDEX(GroupVertices[Group], MATCH(Vertices[[#This Row],[Vertex]],GroupVertices[Vertex],0)),1,1,"")</f>
        <v>1</v>
      </c>
      <c r="AE12" s="2"/>
      <c r="AI12" s="3"/>
    </row>
    <row r="13" spans="1:35" x14ac:dyDescent="0.25">
      <c r="A13" s="1" t="s">
        <v>210</v>
      </c>
      <c r="D13">
        <v>1.5</v>
      </c>
      <c r="G13" s="51"/>
      <c r="M13">
        <v>5220.01318359375</v>
      </c>
      <c r="N13">
        <v>7876.16015625</v>
      </c>
      <c r="R13" s="49">
        <v>1</v>
      </c>
      <c r="U13" s="50">
        <v>0</v>
      </c>
      <c r="V13" s="50">
        <v>4.7619000000000002E-2</v>
      </c>
      <c r="W13" s="50">
        <v>2.1395999999999998E-2</v>
      </c>
      <c r="X13" s="50">
        <v>0.55465200000000003</v>
      </c>
      <c r="Y13" s="50">
        <v>0</v>
      </c>
      <c r="AA13" s="3">
        <v>13</v>
      </c>
      <c r="AD13" s="99" t="str">
        <f>REPLACE(INDEX(GroupVertices[Group], MATCH(Vertices[[#This Row],[Vertex]],GroupVertices[Vertex],0)),1,1,"")</f>
        <v>1</v>
      </c>
      <c r="AE13" s="2"/>
      <c r="AI13" s="3"/>
    </row>
    <row r="14" spans="1:35" x14ac:dyDescent="0.25">
      <c r="A14" s="1" t="s">
        <v>211</v>
      </c>
      <c r="D14">
        <v>4.3333333333333339</v>
      </c>
      <c r="G14" s="51"/>
      <c r="M14">
        <v>7450.88134765625</v>
      </c>
      <c r="N14">
        <v>6147.48388671875</v>
      </c>
      <c r="R14" s="49">
        <v>3</v>
      </c>
      <c r="U14" s="50">
        <v>0</v>
      </c>
      <c r="V14" s="50">
        <v>7.1429000000000006E-2</v>
      </c>
      <c r="W14" s="50">
        <v>0.161603</v>
      </c>
      <c r="X14" s="50">
        <v>1.1092409999999999</v>
      </c>
      <c r="Y14" s="50">
        <v>1</v>
      </c>
      <c r="AA14" s="3">
        <v>14</v>
      </c>
      <c r="AD14" s="99" t="str">
        <f>REPLACE(INDEX(GroupVertices[Group], MATCH(Vertices[[#This Row],[Vertex]],GroupVertices[Vertex],0)),1,1,"")</f>
        <v>1</v>
      </c>
      <c r="AE14" s="2"/>
      <c r="AI14" s="3"/>
    </row>
    <row r="15" spans="1:35" x14ac:dyDescent="0.25">
      <c r="A15" s="1" t="s">
        <v>212</v>
      </c>
      <c r="D15">
        <v>4.3333333333333339</v>
      </c>
      <c r="G15" s="51"/>
      <c r="M15">
        <v>7118.9013671875</v>
      </c>
      <c r="N15">
        <v>2663.944580078125</v>
      </c>
      <c r="R15" s="49">
        <v>3</v>
      </c>
      <c r="U15" s="50">
        <v>0</v>
      </c>
      <c r="V15" s="50">
        <v>7.1429000000000006E-2</v>
      </c>
      <c r="W15" s="50">
        <v>0.161603</v>
      </c>
      <c r="X15" s="50">
        <v>1.1092409999999999</v>
      </c>
      <c r="Y15" s="50">
        <v>1</v>
      </c>
      <c r="AA15" s="3">
        <v>15</v>
      </c>
      <c r="AD15" s="99" t="str">
        <f>REPLACE(INDEX(GroupVertices[Group], MATCH(Vertices[[#This Row],[Vertex]],GroupVertices[Vertex],0)),1,1,"")</f>
        <v>1</v>
      </c>
      <c r="AE15" s="2"/>
      <c r="AI15" s="3"/>
    </row>
    <row r="16" spans="1:35" x14ac:dyDescent="0.25">
      <c r="A16" s="1" t="s">
        <v>213</v>
      </c>
      <c r="D16">
        <v>4.3333333333333339</v>
      </c>
      <c r="G16" s="51"/>
      <c r="M16">
        <v>4149.25927734375</v>
      </c>
      <c r="N16">
        <v>1387.1912841796875</v>
      </c>
      <c r="R16" s="49">
        <v>3</v>
      </c>
      <c r="U16" s="50">
        <v>0</v>
      </c>
      <c r="V16" s="50">
        <v>7.1429000000000006E-2</v>
      </c>
      <c r="W16" s="50">
        <v>0.161603</v>
      </c>
      <c r="X16" s="50">
        <v>1.1092409999999999</v>
      </c>
      <c r="Y16" s="50">
        <v>1</v>
      </c>
      <c r="AA16" s="3">
        <v>16</v>
      </c>
      <c r="AD16" s="99" t="str">
        <f>REPLACE(INDEX(GroupVertices[Group], MATCH(Vertices[[#This Row],[Vertex]],GroupVertices[Vertex],0)),1,1,"")</f>
        <v>1</v>
      </c>
      <c r="AE16" s="2"/>
      <c r="AI16" s="3"/>
    </row>
    <row r="17" spans="1:35" x14ac:dyDescent="0.25">
      <c r="A17" s="1" t="s">
        <v>214</v>
      </c>
      <c r="D17">
        <v>1.5</v>
      </c>
      <c r="G17" s="51"/>
      <c r="M17">
        <v>1710.5902099609375</v>
      </c>
      <c r="N17">
        <v>4256.310546875</v>
      </c>
      <c r="R17" s="49">
        <v>1</v>
      </c>
      <c r="U17" s="50">
        <v>0</v>
      </c>
      <c r="V17" s="50">
        <v>6.25E-2</v>
      </c>
      <c r="W17" s="50">
        <v>6.6034999999999996E-2</v>
      </c>
      <c r="X17" s="50">
        <v>0.48067500000000002</v>
      </c>
      <c r="Y17" s="50">
        <v>0</v>
      </c>
      <c r="AA17" s="3">
        <v>17</v>
      </c>
      <c r="AD17" s="99" t="str">
        <f>REPLACE(INDEX(GroupVertices[Group], MATCH(Vertices[[#This Row],[Vertex]],GroupVertices[Vertex],0)),1,1,"")</f>
        <v>1</v>
      </c>
      <c r="AE17" s="2"/>
      <c r="AI17" s="3"/>
    </row>
    <row r="18" spans="1:35" x14ac:dyDescent="0.25">
      <c r="A18" s="1" t="s">
        <v>215</v>
      </c>
      <c r="D18">
        <v>1.5</v>
      </c>
      <c r="G18" s="51"/>
      <c r="M18">
        <v>2839.13232421875</v>
      </c>
      <c r="N18">
        <v>8457.689453125</v>
      </c>
      <c r="Q18" s="122"/>
      <c r="R18" s="49">
        <v>1</v>
      </c>
      <c r="S18" s="124"/>
      <c r="T18" s="122"/>
      <c r="U18" s="50">
        <v>0</v>
      </c>
      <c r="V18" s="50">
        <v>0.16666700000000001</v>
      </c>
      <c r="W18" s="50">
        <v>0</v>
      </c>
      <c r="X18" s="50">
        <v>0.701735</v>
      </c>
      <c r="Y18" s="50">
        <v>0</v>
      </c>
      <c r="Z18" s="124"/>
      <c r="AA18" s="3">
        <v>18</v>
      </c>
      <c r="AD18" s="99" t="str">
        <f>REPLACE(INDEX(GroupVertices[Group], MATCH(Vertices[[#This Row],[Vertex]],GroupVertices[Vertex],0)),1,1,"")</f>
        <v>2</v>
      </c>
      <c r="AE18" s="2"/>
      <c r="AI18" s="3"/>
    </row>
    <row r="19" spans="1:35" x14ac:dyDescent="0.25">
      <c r="A19" s="1" t="s">
        <v>216</v>
      </c>
      <c r="B19" s="3"/>
      <c r="C19" s="3"/>
      <c r="D19" s="6">
        <v>1.5</v>
      </c>
      <c r="E19" s="2"/>
      <c r="F19" s="3"/>
      <c r="G19" s="120"/>
      <c r="H19" s="1"/>
      <c r="I19" s="3"/>
      <c r="K19" s="1"/>
      <c r="L19" s="6"/>
      <c r="M19" s="86">
        <v>6703.9423828125</v>
      </c>
      <c r="N19" s="86">
        <v>9137.28125</v>
      </c>
      <c r="O19" s="3"/>
      <c r="P19" s="87"/>
      <c r="Q19" s="121"/>
      <c r="R19" s="49">
        <v>1</v>
      </c>
      <c r="S19" s="123"/>
      <c r="T19" s="123"/>
      <c r="U19" s="50">
        <v>0</v>
      </c>
      <c r="V19" s="50">
        <v>6.25E-2</v>
      </c>
      <c r="W19" s="50">
        <v>6.6034999999999996E-2</v>
      </c>
      <c r="X19" s="50">
        <v>0.48067500000000002</v>
      </c>
      <c r="Y19" s="50">
        <v>0</v>
      </c>
      <c r="Z19" s="125"/>
      <c r="AA19" s="3">
        <v>19</v>
      </c>
      <c r="AC19" s="3"/>
      <c r="AD19" s="99" t="str">
        <f>REPLACE(INDEX(GroupVertices[Group], MATCH(Vertices[[#This Row],[Vertex]],GroupVertices[Vertex],0)),1,1,"")</f>
        <v>1</v>
      </c>
      <c r="AE19" s="2"/>
      <c r="AI19" s="3"/>
    </row>
    <row r="20" spans="1:35" x14ac:dyDescent="0.25">
      <c r="G20" s="51"/>
      <c r="R20" s="49"/>
      <c r="U20" s="50"/>
      <c r="V20" s="50"/>
      <c r="W20" s="50"/>
      <c r="X20" s="50"/>
      <c r="Y20" s="50"/>
      <c r="AA20" s="3">
        <v>20</v>
      </c>
      <c r="AD20" s="99" t="e">
        <f>REPLACE(INDEX(GroupVertices[Group], MATCH(Vertices[[#This Row],[Vertex]],GroupVertices[Vertex],0)),1,1,"")</f>
        <v>#N/A</v>
      </c>
      <c r="AE20" s="2"/>
      <c r="AI20" s="3"/>
    </row>
    <row r="21" spans="1:35" x14ac:dyDescent="0.25">
      <c r="B21" s="3"/>
      <c r="C21" s="3"/>
      <c r="D21" s="6"/>
      <c r="E21" s="2"/>
      <c r="F21" s="3"/>
      <c r="G21" s="120"/>
      <c r="H21" s="1"/>
      <c r="I21" s="3"/>
      <c r="K21" s="1"/>
      <c r="L21" s="6"/>
      <c r="M21" s="86"/>
      <c r="N21" s="86"/>
      <c r="O21" s="3"/>
      <c r="P21" s="87"/>
      <c r="Q21" s="121"/>
      <c r="R21" s="49"/>
      <c r="S21" s="123"/>
      <c r="T21" s="123"/>
      <c r="U21" s="50"/>
      <c r="V21" s="50"/>
      <c r="W21" s="50"/>
      <c r="X21" s="50"/>
      <c r="Y21" s="50"/>
      <c r="Z21" s="125"/>
      <c r="AA21" s="3">
        <v>21</v>
      </c>
      <c r="AC21" s="3"/>
      <c r="AD21" s="99" t="e">
        <f>REPLACE(INDEX(GroupVertices[Group], MATCH(Vertices[[#This Row],[Vertex]],GroupVertices[Vertex],0)),1,1,"")</f>
        <v>#N/A</v>
      </c>
      <c r="AE21" s="2"/>
      <c r="AI21" s="3"/>
    </row>
    <row r="22" spans="1:35" x14ac:dyDescent="0.25">
      <c r="G22" s="51"/>
      <c r="R22" s="49"/>
      <c r="U22" s="50"/>
      <c r="V22" s="50"/>
      <c r="W22" s="50"/>
      <c r="X22" s="50"/>
      <c r="Y22" s="50"/>
      <c r="AA22" s="3">
        <v>22</v>
      </c>
      <c r="AD22" s="99" t="e">
        <f>REPLACE(INDEX(GroupVertices[Group], MATCH(Vertices[[#This Row],[Vertex]],GroupVertices[Vertex],0)),1,1,"")</f>
        <v>#N/A</v>
      </c>
      <c r="AE22" s="2"/>
      <c r="AI22" s="3"/>
    </row>
    <row r="23" spans="1:35" x14ac:dyDescent="0.25">
      <c r="B23" s="3"/>
      <c r="C23" s="3"/>
      <c r="D23" s="6"/>
      <c r="E23" s="2"/>
      <c r="F23" s="3"/>
      <c r="G23" s="120"/>
      <c r="H23" s="1"/>
      <c r="I23" s="3"/>
      <c r="K23" s="1"/>
      <c r="L23" s="6"/>
      <c r="M23" s="86"/>
      <c r="N23" s="86"/>
      <c r="O23" s="3"/>
      <c r="P23" s="87"/>
      <c r="Q23" s="121"/>
      <c r="R23" s="49"/>
      <c r="S23" s="123"/>
      <c r="T23" s="123"/>
      <c r="U23" s="50"/>
      <c r="V23" s="50"/>
      <c r="W23" s="50"/>
      <c r="X23" s="50"/>
      <c r="Y23" s="50"/>
      <c r="Z23" s="125"/>
      <c r="AA23" s="3">
        <v>23</v>
      </c>
      <c r="AC23" s="3"/>
      <c r="AD23" s="99" t="e">
        <f>REPLACE(INDEX(GroupVertices[Group], MATCH(Vertices[[#This Row],[Vertex]],GroupVertices[Vertex],0)),1,1,"")</f>
        <v>#N/A</v>
      </c>
      <c r="AE23" s="2"/>
      <c r="AI23" s="3"/>
    </row>
    <row r="24" spans="1:35" x14ac:dyDescent="0.25">
      <c r="B24" s="3"/>
      <c r="C24" s="3"/>
      <c r="D24" s="6"/>
      <c r="E24" s="2"/>
      <c r="F24" s="3"/>
      <c r="G24" s="120"/>
      <c r="H24" s="1"/>
      <c r="I24" s="3"/>
      <c r="K24" s="1"/>
      <c r="L24" s="6"/>
      <c r="M24" s="86"/>
      <c r="N24" s="86"/>
      <c r="O24" s="3"/>
      <c r="P24" s="87"/>
      <c r="Q24" s="121"/>
      <c r="R24" s="49"/>
      <c r="S24" s="123"/>
      <c r="T24" s="123"/>
      <c r="U24" s="50"/>
      <c r="V24" s="50"/>
      <c r="W24" s="50"/>
      <c r="X24" s="50"/>
      <c r="Y24" s="50"/>
      <c r="Z24" s="125"/>
      <c r="AA24" s="3">
        <v>24</v>
      </c>
      <c r="AC24" s="3"/>
      <c r="AD24" s="99" t="e">
        <f>REPLACE(INDEX(GroupVertices[Group], MATCH(Vertices[[#This Row],[Vertex]],GroupVertices[Vertex],0)),1,1,"")</f>
        <v>#N/A</v>
      </c>
      <c r="AE24" s="2"/>
      <c r="AI24" s="3"/>
    </row>
    <row r="25" spans="1:35" x14ac:dyDescent="0.25">
      <c r="G25" s="51"/>
      <c r="R25" s="49"/>
      <c r="U25" s="50"/>
      <c r="V25" s="50"/>
      <c r="W25" s="50"/>
      <c r="X25" s="50"/>
      <c r="Y25" s="50"/>
      <c r="AA25" s="3">
        <v>25</v>
      </c>
      <c r="AD25" s="99" t="e">
        <f>REPLACE(INDEX(GroupVertices[Group], MATCH(Vertices[[#This Row],[Vertex]],GroupVertices[Vertex],0)),1,1,"")</f>
        <v>#N/A</v>
      </c>
      <c r="AE25" s="2"/>
      <c r="AI25" s="3"/>
    </row>
    <row r="26" spans="1:35" x14ac:dyDescent="0.25">
      <c r="B26" s="3"/>
      <c r="C26" s="3"/>
      <c r="D26" s="6"/>
      <c r="E26" s="2"/>
      <c r="F26" s="3"/>
      <c r="G26" s="120"/>
      <c r="H26" s="1"/>
      <c r="I26" s="3"/>
      <c r="K26" s="1"/>
      <c r="L26" s="6"/>
      <c r="M26" s="86"/>
      <c r="N26" s="86"/>
      <c r="O26" s="3"/>
      <c r="P26" s="87"/>
      <c r="Q26" s="121"/>
      <c r="R26" s="49"/>
      <c r="S26" s="123"/>
      <c r="T26" s="123"/>
      <c r="U26" s="50"/>
      <c r="V26" s="50"/>
      <c r="W26" s="50"/>
      <c r="X26" s="50"/>
      <c r="Y26" s="50"/>
      <c r="Z26" s="125"/>
      <c r="AA26" s="3">
        <v>26</v>
      </c>
      <c r="AC26" s="3"/>
      <c r="AD26" s="99" t="e">
        <f>REPLACE(INDEX(GroupVertices[Group], MATCH(Vertices[[#This Row],[Vertex]],GroupVertices[Vertex],0)),1,1,"")</f>
        <v>#N/A</v>
      </c>
      <c r="AE26" s="2"/>
      <c r="AI26" s="3"/>
    </row>
    <row r="27" spans="1:35" x14ac:dyDescent="0.25">
      <c r="B27" s="3"/>
      <c r="C27" s="3"/>
      <c r="D27" s="6"/>
      <c r="E27" s="2"/>
      <c r="F27" s="3"/>
      <c r="G27" s="120"/>
      <c r="H27" s="1"/>
      <c r="I27" s="3"/>
      <c r="K27" s="1"/>
      <c r="L27" s="6"/>
      <c r="M27" s="86"/>
      <c r="N27" s="86"/>
      <c r="O27" s="3"/>
      <c r="P27" s="87"/>
      <c r="Q27" s="121"/>
      <c r="R27" s="49"/>
      <c r="S27" s="123"/>
      <c r="T27" s="123"/>
      <c r="U27" s="50"/>
      <c r="V27" s="50"/>
      <c r="W27" s="50"/>
      <c r="X27" s="50"/>
      <c r="Y27" s="50"/>
      <c r="Z27" s="125"/>
      <c r="AA27" s="3">
        <v>27</v>
      </c>
      <c r="AC27" s="3"/>
      <c r="AD27" s="99" t="e">
        <f>REPLACE(INDEX(GroupVertices[Group], MATCH(Vertices[[#This Row],[Vertex]],GroupVertices[Vertex],0)),1,1,"")</f>
        <v>#N/A</v>
      </c>
      <c r="AE27" s="2"/>
      <c r="AI27" s="3"/>
    </row>
    <row r="28" spans="1:35" x14ac:dyDescent="0.25">
      <c r="G28" s="51"/>
      <c r="R28" s="49"/>
      <c r="U28" s="50"/>
      <c r="V28" s="50"/>
      <c r="W28" s="50"/>
      <c r="X28" s="50"/>
      <c r="Y28" s="50"/>
      <c r="AA28" s="3">
        <v>28</v>
      </c>
      <c r="AD28" s="99" t="e">
        <f>REPLACE(INDEX(GroupVertices[Group], MATCH(Vertices[[#This Row],[Vertex]],GroupVertices[Vertex],0)),1,1,"")</f>
        <v>#N/A</v>
      </c>
      <c r="AE28" s="2"/>
      <c r="AI28" s="3"/>
    </row>
    <row r="29" spans="1:35" x14ac:dyDescent="0.25">
      <c r="G29" s="51"/>
      <c r="R29" s="49"/>
      <c r="U29" s="50"/>
      <c r="V29" s="50"/>
      <c r="W29" s="50"/>
      <c r="X29" s="50"/>
      <c r="Y29" s="50"/>
      <c r="AA29" s="3">
        <v>29</v>
      </c>
      <c r="AD29" s="99" t="e">
        <f>REPLACE(INDEX(GroupVertices[Group], MATCH(Vertices[[#This Row],[Vertex]],GroupVertices[Vertex],0)),1,1,"")</f>
        <v>#N/A</v>
      </c>
      <c r="AE29" s="2"/>
      <c r="AI29" s="3"/>
    </row>
    <row r="30" spans="1:35" x14ac:dyDescent="0.25">
      <c r="B30" s="3"/>
      <c r="C30" s="3"/>
      <c r="D30" s="6"/>
      <c r="E30" s="2"/>
      <c r="F30" s="3"/>
      <c r="G30" s="120"/>
      <c r="H30" s="1"/>
      <c r="I30" s="3"/>
      <c r="K30" s="1"/>
      <c r="L30" s="6"/>
      <c r="M30" s="86"/>
      <c r="N30" s="86"/>
      <c r="O30" s="3"/>
      <c r="P30" s="87"/>
      <c r="Q30" s="121"/>
      <c r="R30" s="49"/>
      <c r="S30" s="123"/>
      <c r="T30" s="123"/>
      <c r="U30" s="50"/>
      <c r="V30" s="50"/>
      <c r="W30" s="50"/>
      <c r="X30" s="50"/>
      <c r="Y30" s="50"/>
      <c r="Z30" s="125"/>
      <c r="AA30" s="3">
        <v>30</v>
      </c>
      <c r="AC30" s="3"/>
      <c r="AD30" s="99" t="e">
        <f>REPLACE(INDEX(GroupVertices[Group], MATCH(Vertices[[#This Row],[Vertex]],GroupVertices[Vertex],0)),1,1,"")</f>
        <v>#N/A</v>
      </c>
      <c r="AE30" s="2"/>
      <c r="AI30" s="3"/>
    </row>
    <row r="31" spans="1:35" x14ac:dyDescent="0.25">
      <c r="B31" s="3"/>
      <c r="C31" s="3"/>
      <c r="D31" s="6"/>
      <c r="E31" s="2"/>
      <c r="F31" s="3"/>
      <c r="G31" s="120"/>
      <c r="H31" s="1"/>
      <c r="I31" s="3"/>
      <c r="K31" s="1"/>
      <c r="L31" s="6"/>
      <c r="M31" s="86"/>
      <c r="N31" s="86"/>
      <c r="O31" s="3"/>
      <c r="P31" s="87"/>
      <c r="Q31" s="121"/>
      <c r="R31" s="49"/>
      <c r="S31" s="123"/>
      <c r="T31" s="123"/>
      <c r="U31" s="50"/>
      <c r="V31" s="50"/>
      <c r="W31" s="50"/>
      <c r="X31" s="50"/>
      <c r="Y31" s="50"/>
      <c r="Z31" s="125"/>
      <c r="AA31" s="3">
        <v>31</v>
      </c>
      <c r="AC31" s="3"/>
      <c r="AD31" s="99" t="e">
        <f>REPLACE(INDEX(GroupVertices[Group], MATCH(Vertices[[#This Row],[Vertex]],GroupVertices[Vertex],0)),1,1,"")</f>
        <v>#N/A</v>
      </c>
      <c r="AE31" s="2"/>
      <c r="AI31" s="3"/>
    </row>
    <row r="32" spans="1:35" x14ac:dyDescent="0.25">
      <c r="B32" s="3"/>
      <c r="C32" s="3"/>
      <c r="D32" s="6"/>
      <c r="E32" s="2"/>
      <c r="F32" s="3"/>
      <c r="G32" s="120"/>
      <c r="H32" s="1"/>
      <c r="I32" s="3"/>
      <c r="K32" s="1"/>
      <c r="L32" s="6"/>
      <c r="M32" s="86"/>
      <c r="N32" s="86"/>
      <c r="O32" s="3"/>
      <c r="P32" s="87"/>
      <c r="Q32" s="121"/>
      <c r="R32" s="49"/>
      <c r="S32" s="123"/>
      <c r="T32" s="123"/>
      <c r="U32" s="50"/>
      <c r="V32" s="50"/>
      <c r="W32" s="50"/>
      <c r="X32" s="50"/>
      <c r="Y32" s="50"/>
      <c r="Z32" s="125"/>
      <c r="AA32" s="3">
        <v>32</v>
      </c>
      <c r="AC32" s="3"/>
      <c r="AD32" s="99" t="e">
        <f>REPLACE(INDEX(GroupVertices[Group], MATCH(Vertices[[#This Row],[Vertex]],GroupVertices[Vertex],0)),1,1,"")</f>
        <v>#N/A</v>
      </c>
      <c r="AE32" s="2"/>
      <c r="AI32" s="3"/>
    </row>
    <row r="33" spans="2:30" x14ac:dyDescent="0.25">
      <c r="B33" s="3"/>
      <c r="C33" s="3"/>
      <c r="D33" s="6"/>
      <c r="E33" s="2"/>
      <c r="F33" s="3"/>
      <c r="G33" s="3"/>
      <c r="H33" s="1"/>
      <c r="I33" s="3"/>
      <c r="K33" s="1"/>
      <c r="L33" s="6"/>
      <c r="M33" s="86"/>
      <c r="N33" s="86"/>
      <c r="O33" s="3"/>
      <c r="P33" s="87"/>
      <c r="Q33" s="88"/>
      <c r="R33" s="49"/>
      <c r="S33" s="89"/>
      <c r="T33" s="90"/>
      <c r="U33" s="50"/>
      <c r="V33" s="50"/>
      <c r="W33" s="50"/>
      <c r="X33" s="50"/>
      <c r="Y33" s="50"/>
      <c r="Z33" s="91"/>
      <c r="AA33" s="3">
        <v>33</v>
      </c>
      <c r="AC33" s="3"/>
      <c r="AD33" s="99" t="e">
        <f>REPLACE(INDEX(GroupVertices[Group], MATCH(Vertices[[#This Row],[Vertex]],GroupVertices[Vertex],0)),1,1,"")</f>
        <v>#N/A</v>
      </c>
    </row>
    <row r="34" spans="2:30" x14ac:dyDescent="0.25">
      <c r="G34" s="112"/>
      <c r="Q34" s="122"/>
      <c r="R34" s="49"/>
      <c r="S34" s="124"/>
      <c r="T34" s="122"/>
      <c r="U34" s="50"/>
      <c r="V34" s="50"/>
      <c r="W34" s="50"/>
      <c r="X34" s="50"/>
      <c r="Y34" s="50"/>
      <c r="Z34" s="124"/>
      <c r="AA34" s="3">
        <v>34</v>
      </c>
      <c r="AD34" s="99" t="e">
        <f>REPLACE(INDEX(GroupVertices[Group], MATCH(Vertices[[#This Row],[Vertex]],GroupVertices[Vertex],0)),1,1,"")</f>
        <v>#N/A</v>
      </c>
    </row>
    <row r="35" spans="2:30" x14ac:dyDescent="0.25">
      <c r="B35" s="3"/>
      <c r="C35" s="3"/>
      <c r="D35" s="6"/>
      <c r="E35" s="2"/>
      <c r="F35" s="3"/>
      <c r="G35" s="3"/>
      <c r="H35" s="1"/>
      <c r="I35" s="3"/>
      <c r="K35" s="1"/>
      <c r="L35" s="6"/>
      <c r="M35" s="86"/>
      <c r="N35" s="86"/>
      <c r="O35" s="3"/>
      <c r="P35" s="87"/>
      <c r="Q35" s="88"/>
      <c r="R35" s="49"/>
      <c r="S35" s="89"/>
      <c r="T35" s="90"/>
      <c r="U35" s="50"/>
      <c r="V35" s="50"/>
      <c r="W35" s="50"/>
      <c r="X35" s="50"/>
      <c r="Y35" s="50"/>
      <c r="Z35" s="91"/>
      <c r="AA35" s="3">
        <v>35</v>
      </c>
      <c r="AC35" s="3"/>
      <c r="AD35" s="99" t="e">
        <f>REPLACE(INDEX(GroupVertices[Group], MATCH(Vertices[[#This Row],[Vertex]],GroupVertices[Vertex],0)),1,1,"")</f>
        <v>#N/A</v>
      </c>
    </row>
    <row r="36" spans="2:30" x14ac:dyDescent="0.25">
      <c r="B36" s="3"/>
      <c r="C36" s="3"/>
      <c r="D36" s="6"/>
      <c r="E36" s="2"/>
      <c r="F36" s="3"/>
      <c r="G36" s="3"/>
      <c r="H36" s="1"/>
      <c r="I36" s="3"/>
      <c r="K36" s="1"/>
      <c r="L36" s="6"/>
      <c r="M36" s="86"/>
      <c r="N36" s="86"/>
      <c r="O36" s="3"/>
      <c r="P36" s="87"/>
      <c r="Q36" s="88"/>
      <c r="R36" s="49"/>
      <c r="S36" s="89"/>
      <c r="T36" s="90"/>
      <c r="U36" s="50"/>
      <c r="V36" s="50"/>
      <c r="W36" s="50"/>
      <c r="X36" s="50"/>
      <c r="Y36" s="50"/>
      <c r="Z36" s="91"/>
      <c r="AA36" s="3">
        <v>36</v>
      </c>
      <c r="AC36" s="3"/>
      <c r="AD36" s="99" t="e">
        <f>REPLACE(INDEX(GroupVertices[Group], MATCH(Vertices[[#This Row],[Vertex]],GroupVertices[Vertex],0)),1,1,"")</f>
        <v>#N/A</v>
      </c>
    </row>
    <row r="37" spans="2:30" x14ac:dyDescent="0.25">
      <c r="B37" s="3"/>
      <c r="C37" s="3"/>
      <c r="D37" s="6"/>
      <c r="E37" s="2"/>
      <c r="F37" s="3"/>
      <c r="G37" s="3"/>
      <c r="H37" s="1"/>
      <c r="I37" s="3"/>
      <c r="K37" s="1"/>
      <c r="L37" s="6"/>
      <c r="M37" s="86"/>
      <c r="N37" s="86"/>
      <c r="O37" s="3"/>
      <c r="P37" s="87"/>
      <c r="Q37" s="88"/>
      <c r="R37" s="49"/>
      <c r="S37" s="89"/>
      <c r="T37" s="90"/>
      <c r="U37" s="50"/>
      <c r="V37" s="50"/>
      <c r="W37" s="50"/>
      <c r="X37" s="50"/>
      <c r="Y37" s="50"/>
      <c r="Z37" s="91"/>
      <c r="AA37" s="3">
        <v>37</v>
      </c>
      <c r="AC37" s="3"/>
      <c r="AD37" s="99" t="e">
        <f>REPLACE(INDEX(GroupVertices[Group], MATCH(Vertices[[#This Row],[Vertex]],GroupVertices[Vertex],0)),1,1,"")</f>
        <v>#N/A</v>
      </c>
    </row>
    <row r="38" spans="2:30" x14ac:dyDescent="0.25">
      <c r="G38" s="112"/>
      <c r="Q38" s="122"/>
      <c r="R38" s="49"/>
      <c r="S38" s="124"/>
      <c r="T38" s="122"/>
      <c r="U38" s="50"/>
      <c r="V38" s="50"/>
      <c r="W38" s="50"/>
      <c r="X38" s="50"/>
      <c r="Y38" s="50"/>
      <c r="Z38" s="124"/>
      <c r="AA38" s="3">
        <v>38</v>
      </c>
      <c r="AD38" s="99" t="e">
        <f>REPLACE(INDEX(GroupVertices[Group], MATCH(Vertices[[#This Row],[Vertex]],GroupVertices[Vertex],0)),1,1,"")</f>
        <v>#N/A</v>
      </c>
    </row>
    <row r="39" spans="2:30" x14ac:dyDescent="0.25">
      <c r="B39" s="3"/>
      <c r="C39" s="3"/>
      <c r="D39" s="6"/>
      <c r="E39" s="2"/>
      <c r="F39" s="3"/>
      <c r="G39" s="3"/>
      <c r="H39" s="1"/>
      <c r="I39" s="3"/>
      <c r="K39" s="1"/>
      <c r="L39" s="6"/>
      <c r="M39" s="86"/>
      <c r="N39" s="86"/>
      <c r="O39" s="3"/>
      <c r="P39" s="87"/>
      <c r="Q39" s="88"/>
      <c r="R39" s="49"/>
      <c r="S39" s="89"/>
      <c r="T39" s="90"/>
      <c r="U39" s="50"/>
      <c r="V39" s="50"/>
      <c r="W39" s="50"/>
      <c r="X39" s="50"/>
      <c r="Y39" s="50"/>
      <c r="Z39" s="91"/>
      <c r="AA39" s="3">
        <v>39</v>
      </c>
      <c r="AC39" s="3"/>
      <c r="AD39" s="99" t="e">
        <f>REPLACE(INDEX(GroupVertices[Group], MATCH(Vertices[[#This Row],[Vertex]],GroupVertices[Vertex],0)),1,1,"")</f>
        <v>#N/A</v>
      </c>
    </row>
    <row r="40" spans="2:30" x14ac:dyDescent="0.25">
      <c r="G40" s="112"/>
      <c r="Q40" s="122"/>
      <c r="R40" s="49"/>
      <c r="S40" s="124"/>
      <c r="T40" s="122"/>
      <c r="U40" s="50"/>
      <c r="V40" s="50"/>
      <c r="W40" s="50"/>
      <c r="X40" s="50"/>
      <c r="Y40" s="50"/>
      <c r="Z40" s="124"/>
      <c r="AA40" s="3">
        <v>40</v>
      </c>
      <c r="AD40" s="99" t="e">
        <f>REPLACE(INDEX(GroupVertices[Group], MATCH(Vertices[[#This Row],[Vertex]],GroupVertices[Vertex],0)),1,1,"")</f>
        <v>#N/A</v>
      </c>
    </row>
    <row r="41" spans="2:30" x14ac:dyDescent="0.25">
      <c r="B41" s="3"/>
      <c r="C41" s="3"/>
      <c r="D41" s="6"/>
      <c r="E41" s="2"/>
      <c r="F41" s="3"/>
      <c r="G41" s="3"/>
      <c r="H41" s="1"/>
      <c r="I41" s="3"/>
      <c r="K41" s="1"/>
      <c r="L41" s="6"/>
      <c r="M41" s="86"/>
      <c r="N41" s="86"/>
      <c r="O41" s="3"/>
      <c r="P41" s="87"/>
      <c r="Q41" s="88"/>
      <c r="R41" s="49"/>
      <c r="S41" s="89"/>
      <c r="T41" s="90"/>
      <c r="U41" s="50"/>
      <c r="V41" s="50"/>
      <c r="W41" s="50"/>
      <c r="X41" s="50"/>
      <c r="Y41" s="50"/>
      <c r="Z41" s="91"/>
      <c r="AA41" s="3">
        <v>41</v>
      </c>
      <c r="AC41" s="3"/>
      <c r="AD41" s="99" t="e">
        <f>REPLACE(INDEX(GroupVertices[Group], MATCH(Vertices[[#This Row],[Vertex]],GroupVertices[Vertex],0)),1,1,"")</f>
        <v>#N/A</v>
      </c>
    </row>
    <row r="42" spans="2:30" x14ac:dyDescent="0.25">
      <c r="B42" s="3"/>
      <c r="C42" s="3"/>
      <c r="D42" s="6"/>
      <c r="E42" s="2"/>
      <c r="F42" s="3"/>
      <c r="G42" s="3"/>
      <c r="H42" s="1"/>
      <c r="I42" s="3"/>
      <c r="K42" s="1"/>
      <c r="L42" s="6"/>
      <c r="M42" s="86"/>
      <c r="N42" s="86"/>
      <c r="O42" s="3"/>
      <c r="P42" s="87"/>
      <c r="Q42" s="88"/>
      <c r="R42" s="49"/>
      <c r="S42" s="89"/>
      <c r="T42" s="90"/>
      <c r="U42" s="50"/>
      <c r="V42" s="50"/>
      <c r="W42" s="50"/>
      <c r="X42" s="50"/>
      <c r="Y42" s="50"/>
      <c r="Z42" s="91"/>
      <c r="AA42" s="3">
        <v>42</v>
      </c>
      <c r="AC42" s="3"/>
      <c r="AD42" s="99" t="e">
        <f>REPLACE(INDEX(GroupVertices[Group], MATCH(Vertices[[#This Row],[Vertex]],GroupVertices[Vertex],0)),1,1,"")</f>
        <v>#N/A</v>
      </c>
    </row>
    <row r="43" spans="2:30" x14ac:dyDescent="0.25">
      <c r="B43" s="3"/>
      <c r="C43" s="3"/>
      <c r="D43" s="6"/>
      <c r="E43" s="2"/>
      <c r="F43" s="3"/>
      <c r="G43" s="3"/>
      <c r="H43" s="1"/>
      <c r="I43" s="3"/>
      <c r="K43" s="1"/>
      <c r="L43" s="6"/>
      <c r="M43" s="86"/>
      <c r="N43" s="86"/>
      <c r="O43" s="3"/>
      <c r="P43" s="87"/>
      <c r="Q43" s="88"/>
      <c r="R43" s="49"/>
      <c r="S43" s="89"/>
      <c r="T43" s="90"/>
      <c r="U43" s="50"/>
      <c r="V43" s="50"/>
      <c r="W43" s="50"/>
      <c r="X43" s="50"/>
      <c r="Y43" s="50"/>
      <c r="Z43" s="91"/>
      <c r="AA43" s="3">
        <v>43</v>
      </c>
      <c r="AC43" s="3"/>
      <c r="AD43" s="99" t="e">
        <f>REPLACE(INDEX(GroupVertices[Group], MATCH(Vertices[[#This Row],[Vertex]],GroupVertices[Vertex],0)),1,1,"")</f>
        <v>#N/A</v>
      </c>
    </row>
    <row r="44" spans="2:30" x14ac:dyDescent="0.25">
      <c r="B44" s="3"/>
      <c r="C44" s="3"/>
      <c r="D44" s="6"/>
      <c r="E44" s="2"/>
      <c r="F44" s="3"/>
      <c r="G44" s="3"/>
      <c r="H44" s="1"/>
      <c r="I44" s="3"/>
      <c r="K44" s="1"/>
      <c r="L44" s="6"/>
      <c r="M44" s="86"/>
      <c r="N44" s="86"/>
      <c r="O44" s="3"/>
      <c r="P44" s="87"/>
      <c r="Q44" s="88"/>
      <c r="R44" s="49"/>
      <c r="S44" s="89"/>
      <c r="T44" s="90"/>
      <c r="U44" s="50"/>
      <c r="V44" s="50"/>
      <c r="W44" s="50"/>
      <c r="X44" s="50"/>
      <c r="Y44" s="50"/>
      <c r="Z44" s="91"/>
      <c r="AA44" s="3">
        <v>44</v>
      </c>
      <c r="AC44" s="3"/>
      <c r="AD44" s="99" t="e">
        <f>REPLACE(INDEX(GroupVertices[Group], MATCH(Vertices[[#This Row],[Vertex]],GroupVertices[Vertex],0)),1,1,"")</f>
        <v>#N/A</v>
      </c>
    </row>
    <row r="45" spans="2:30" x14ac:dyDescent="0.25">
      <c r="B45" s="3"/>
      <c r="C45" s="3"/>
      <c r="D45" s="6"/>
      <c r="E45" s="2"/>
      <c r="F45" s="3"/>
      <c r="G45" s="3"/>
      <c r="H45" s="1"/>
      <c r="I45" s="3"/>
      <c r="K45" s="1"/>
      <c r="L45" s="6"/>
      <c r="M45" s="86"/>
      <c r="N45" s="86"/>
      <c r="O45" s="3"/>
      <c r="P45" s="87"/>
      <c r="Q45" s="88"/>
      <c r="R45" s="49"/>
      <c r="S45" s="89"/>
      <c r="T45" s="90"/>
      <c r="U45" s="50"/>
      <c r="V45" s="50"/>
      <c r="W45" s="50"/>
      <c r="X45" s="50"/>
      <c r="Y45" s="50"/>
      <c r="Z45" s="91"/>
      <c r="AA45" s="3">
        <v>45</v>
      </c>
      <c r="AC45" s="3"/>
      <c r="AD45" s="99" t="e">
        <f>REPLACE(INDEX(GroupVertices[Group], MATCH(Vertices[[#This Row],[Vertex]],GroupVertices[Vertex],0)),1,1,"")</f>
        <v>#N/A</v>
      </c>
    </row>
    <row r="46" spans="2:30" x14ac:dyDescent="0.25">
      <c r="B46" s="3"/>
      <c r="C46" s="3"/>
      <c r="D46" s="6"/>
      <c r="E46" s="2"/>
      <c r="F46" s="3"/>
      <c r="G46" s="3"/>
      <c r="H46" s="1"/>
      <c r="I46" s="3"/>
      <c r="K46" s="1"/>
      <c r="L46" s="6"/>
      <c r="M46" s="86"/>
      <c r="N46" s="86"/>
      <c r="O46" s="3"/>
      <c r="P46" s="87"/>
      <c r="Q46" s="88"/>
      <c r="R46" s="49"/>
      <c r="S46" s="89"/>
      <c r="T46" s="90"/>
      <c r="U46" s="50"/>
      <c r="V46" s="50"/>
      <c r="W46" s="50"/>
      <c r="X46" s="50"/>
      <c r="Y46" s="50"/>
      <c r="Z46" s="91"/>
      <c r="AA46" s="3">
        <v>46</v>
      </c>
      <c r="AC46" s="3"/>
      <c r="AD46" s="99" t="e">
        <f>REPLACE(INDEX(GroupVertices[Group], MATCH(Vertices[[#This Row],[Vertex]],GroupVertices[Vertex],0)),1,1,"")</f>
        <v>#N/A</v>
      </c>
    </row>
    <row r="47" spans="2:30" x14ac:dyDescent="0.25">
      <c r="G47" s="112"/>
      <c r="Q47" s="122"/>
      <c r="R47" s="49"/>
      <c r="S47" s="124"/>
      <c r="T47" s="122"/>
      <c r="U47" s="50"/>
      <c r="V47" s="50"/>
      <c r="W47" s="50"/>
      <c r="X47" s="50"/>
      <c r="Y47" s="50"/>
      <c r="Z47" s="124"/>
      <c r="AA47" s="3">
        <v>47</v>
      </c>
      <c r="AD47" s="99" t="e">
        <f>REPLACE(INDEX(GroupVertices[Group], MATCH(Vertices[[#This Row],[Vertex]],GroupVertices[Vertex],0)),1,1,"")</f>
        <v>#N/A</v>
      </c>
    </row>
    <row r="48" spans="2:30" x14ac:dyDescent="0.25">
      <c r="B48" s="3"/>
      <c r="C48" s="3"/>
      <c r="D48" s="6"/>
      <c r="E48" s="2"/>
      <c r="F48" s="3"/>
      <c r="G48" s="3"/>
      <c r="H48" s="1"/>
      <c r="I48" s="3"/>
      <c r="K48" s="1"/>
      <c r="L48" s="6"/>
      <c r="M48" s="86"/>
      <c r="N48" s="86"/>
      <c r="O48" s="3"/>
      <c r="P48" s="87"/>
      <c r="Q48" s="88"/>
      <c r="R48" s="49"/>
      <c r="S48" s="89"/>
      <c r="T48" s="90"/>
      <c r="U48" s="50"/>
      <c r="V48" s="50"/>
      <c r="W48" s="50"/>
      <c r="X48" s="50"/>
      <c r="Y48" s="50"/>
      <c r="Z48" s="91"/>
      <c r="AA48" s="3">
        <v>48</v>
      </c>
      <c r="AC48" s="3"/>
      <c r="AD48" s="99" t="e">
        <f>REPLACE(INDEX(GroupVertices[Group], MATCH(Vertices[[#This Row],[Vertex]],GroupVertices[Vertex],0)),1,1,"")</f>
        <v>#N/A</v>
      </c>
    </row>
    <row r="49" spans="2:30" x14ac:dyDescent="0.25">
      <c r="B49" s="3"/>
      <c r="C49" s="3"/>
      <c r="D49" s="6"/>
      <c r="E49" s="2"/>
      <c r="F49" s="3"/>
      <c r="G49" s="3"/>
      <c r="H49" s="1"/>
      <c r="I49" s="3"/>
      <c r="K49" s="1"/>
      <c r="L49" s="6"/>
      <c r="M49" s="86"/>
      <c r="N49" s="86"/>
      <c r="O49" s="3"/>
      <c r="P49" s="87"/>
      <c r="Q49" s="88"/>
      <c r="R49" s="49"/>
      <c r="S49" s="89"/>
      <c r="T49" s="90"/>
      <c r="U49" s="50"/>
      <c r="V49" s="50"/>
      <c r="W49" s="50"/>
      <c r="X49" s="50"/>
      <c r="Y49" s="50"/>
      <c r="Z49" s="91"/>
      <c r="AA49" s="3">
        <v>49</v>
      </c>
      <c r="AC49" s="3"/>
      <c r="AD49" s="99" t="e">
        <f>REPLACE(INDEX(GroupVertices[Group], MATCH(Vertices[[#This Row],[Vertex]],GroupVertices[Vertex],0)),1,1,"")</f>
        <v>#N/A</v>
      </c>
    </row>
    <row r="50" spans="2:30" x14ac:dyDescent="0.25">
      <c r="B50" s="3"/>
      <c r="C50" s="3"/>
      <c r="D50" s="6"/>
      <c r="E50" s="2"/>
      <c r="F50" s="3"/>
      <c r="G50" s="3"/>
      <c r="H50" s="1"/>
      <c r="I50" s="3"/>
      <c r="K50" s="1"/>
      <c r="L50" s="6"/>
      <c r="M50" s="86"/>
      <c r="N50" s="86"/>
      <c r="O50" s="3"/>
      <c r="P50" s="87"/>
      <c r="Q50" s="88"/>
      <c r="R50" s="49"/>
      <c r="S50" s="89"/>
      <c r="T50" s="90"/>
      <c r="U50" s="50"/>
      <c r="V50" s="50"/>
      <c r="W50" s="50"/>
      <c r="X50" s="50"/>
      <c r="Y50" s="50"/>
      <c r="Z50" s="91"/>
      <c r="AA50" s="3">
        <v>50</v>
      </c>
      <c r="AC50" s="3"/>
      <c r="AD50" s="99" t="e">
        <f>REPLACE(INDEX(GroupVertices[Group], MATCH(Vertices[[#This Row],[Vertex]],GroupVertices[Vertex],0)),1,1,"")</f>
        <v>#N/A</v>
      </c>
    </row>
    <row r="51" spans="2:30" x14ac:dyDescent="0.25">
      <c r="B51" s="3"/>
      <c r="C51" s="3"/>
      <c r="D51" s="6"/>
      <c r="E51" s="2"/>
      <c r="F51" s="3"/>
      <c r="G51" s="3"/>
      <c r="H51" s="1"/>
      <c r="I51" s="3"/>
      <c r="K51" s="1"/>
      <c r="L51" s="6"/>
      <c r="M51" s="86"/>
      <c r="N51" s="86"/>
      <c r="O51" s="3"/>
      <c r="P51" s="87"/>
      <c r="Q51" s="88"/>
      <c r="R51" s="49"/>
      <c r="S51" s="89"/>
      <c r="T51" s="90"/>
      <c r="U51" s="50"/>
      <c r="V51" s="50"/>
      <c r="W51" s="50"/>
      <c r="X51" s="50"/>
      <c r="Y51" s="50"/>
      <c r="Z51" s="91"/>
      <c r="AA51" s="3">
        <v>51</v>
      </c>
      <c r="AC51" s="3"/>
      <c r="AD51" s="99" t="e">
        <f>REPLACE(INDEX(GroupVertices[Group], MATCH(Vertices[[#This Row],[Vertex]],GroupVertices[Vertex],0)),1,1,"")</f>
        <v>#N/A</v>
      </c>
    </row>
    <row r="52" spans="2:30" x14ac:dyDescent="0.25">
      <c r="B52" s="3"/>
      <c r="C52" s="3"/>
      <c r="D52" s="6"/>
      <c r="E52" s="2"/>
      <c r="F52" s="3"/>
      <c r="G52" s="3"/>
      <c r="H52" s="1"/>
      <c r="I52" s="3"/>
      <c r="K52" s="1"/>
      <c r="L52" s="6"/>
      <c r="M52" s="86"/>
      <c r="N52" s="86"/>
      <c r="O52" s="3"/>
      <c r="P52" s="87"/>
      <c r="Q52" s="88"/>
      <c r="R52" s="49"/>
      <c r="S52" s="89"/>
      <c r="T52" s="90"/>
      <c r="U52" s="50"/>
      <c r="V52" s="50"/>
      <c r="W52" s="50"/>
      <c r="X52" s="50"/>
      <c r="Y52" s="50"/>
      <c r="Z52" s="91"/>
      <c r="AA52" s="3">
        <v>52</v>
      </c>
      <c r="AC52" s="3"/>
      <c r="AD52" s="99" t="e">
        <f>REPLACE(INDEX(GroupVertices[Group], MATCH(Vertices[[#This Row],[Vertex]],GroupVertices[Vertex],0)),1,1,"")</f>
        <v>#N/A</v>
      </c>
    </row>
    <row r="53" spans="2:30" x14ac:dyDescent="0.25">
      <c r="G53" s="112"/>
      <c r="Q53" s="122"/>
      <c r="R53" s="49"/>
      <c r="S53" s="124"/>
      <c r="T53" s="122"/>
      <c r="U53" s="50"/>
      <c r="V53" s="50"/>
      <c r="W53" s="50"/>
      <c r="X53" s="50"/>
      <c r="Y53" s="50"/>
      <c r="Z53" s="124"/>
      <c r="AA53" s="3">
        <v>53</v>
      </c>
      <c r="AD53" s="99" t="e">
        <f>REPLACE(INDEX(GroupVertices[Group], MATCH(Vertices[[#This Row],[Vertex]],GroupVertices[Vertex],0)),1,1,"")</f>
        <v>#N/A</v>
      </c>
    </row>
    <row r="54" spans="2:30" x14ac:dyDescent="0.25">
      <c r="G54" s="112"/>
      <c r="Q54" s="122"/>
      <c r="R54" s="49"/>
      <c r="S54" s="124"/>
      <c r="T54" s="122"/>
      <c r="U54" s="50"/>
      <c r="V54" s="50"/>
      <c r="W54" s="50"/>
      <c r="X54" s="50"/>
      <c r="Y54" s="50"/>
      <c r="Z54" s="124"/>
      <c r="AA54" s="3">
        <v>54</v>
      </c>
      <c r="AD54" s="99" t="e">
        <f>REPLACE(INDEX(GroupVertices[Group], MATCH(Vertices[[#This Row],[Vertex]],GroupVertices[Vertex],0)),1,1,"")</f>
        <v>#N/A</v>
      </c>
    </row>
    <row r="55" spans="2:30" x14ac:dyDescent="0.25">
      <c r="G55" s="112"/>
      <c r="Q55" s="122"/>
      <c r="R55" s="49"/>
      <c r="S55" s="124"/>
      <c r="T55" s="122"/>
      <c r="U55" s="50"/>
      <c r="V55" s="50"/>
      <c r="W55" s="50"/>
      <c r="X55" s="50"/>
      <c r="Y55" s="50"/>
      <c r="Z55" s="124"/>
      <c r="AA55" s="3">
        <v>55</v>
      </c>
      <c r="AD55" s="99" t="e">
        <f>REPLACE(INDEX(GroupVertices[Group], MATCH(Vertices[[#This Row],[Vertex]],GroupVertices[Vertex],0)),1,1,"")</f>
        <v>#N/A</v>
      </c>
    </row>
    <row r="56" spans="2:30" x14ac:dyDescent="0.25">
      <c r="B56" s="3"/>
      <c r="C56" s="3"/>
      <c r="D56" s="6"/>
      <c r="E56" s="2"/>
      <c r="F56" s="3"/>
      <c r="G56" s="3"/>
      <c r="H56" s="1"/>
      <c r="I56" s="3"/>
      <c r="K56" s="1"/>
      <c r="L56" s="6"/>
      <c r="M56" s="86"/>
      <c r="N56" s="86"/>
      <c r="O56" s="3"/>
      <c r="P56" s="87"/>
      <c r="Q56" s="88"/>
      <c r="R56" s="49"/>
      <c r="S56" s="89"/>
      <c r="T56" s="90"/>
      <c r="U56" s="50"/>
      <c r="V56" s="50"/>
      <c r="W56" s="50"/>
      <c r="X56" s="50"/>
      <c r="Y56" s="50"/>
      <c r="Z56" s="91"/>
      <c r="AA56" s="3">
        <v>56</v>
      </c>
      <c r="AC56" s="3"/>
      <c r="AD56" s="99" t="e">
        <f>REPLACE(INDEX(GroupVertices[Group], MATCH(Vertices[[#This Row],[Vertex]],GroupVertices[Vertex],0)),1,1,"")</f>
        <v>#N/A</v>
      </c>
    </row>
    <row r="57" spans="2:30" x14ac:dyDescent="0.25">
      <c r="B57" s="3"/>
      <c r="C57" s="3"/>
      <c r="D57" s="6"/>
      <c r="E57" s="2"/>
      <c r="F57" s="3"/>
      <c r="G57" s="3"/>
      <c r="H57" s="1"/>
      <c r="I57" s="3"/>
      <c r="K57" s="1"/>
      <c r="L57" s="6"/>
      <c r="M57" s="86"/>
      <c r="N57" s="86"/>
      <c r="O57" s="3"/>
      <c r="P57" s="87"/>
      <c r="Q57" s="88"/>
      <c r="R57" s="49"/>
      <c r="S57" s="89"/>
      <c r="T57" s="90"/>
      <c r="U57" s="50"/>
      <c r="V57" s="50"/>
      <c r="W57" s="50"/>
      <c r="X57" s="50"/>
      <c r="Y57" s="50"/>
      <c r="Z57" s="91"/>
      <c r="AA57" s="3">
        <v>57</v>
      </c>
      <c r="AC57" s="3"/>
      <c r="AD57" s="99" t="e">
        <f>REPLACE(INDEX(GroupVertices[Group], MATCH(Vertices[[#This Row],[Vertex]],GroupVertices[Vertex],0)),1,1,"")</f>
        <v>#N/A</v>
      </c>
    </row>
    <row r="58" spans="2:30" x14ac:dyDescent="0.25">
      <c r="B58" s="3"/>
      <c r="C58" s="3"/>
      <c r="D58" s="6"/>
      <c r="E58" s="2"/>
      <c r="F58" s="3"/>
      <c r="G58" s="3"/>
      <c r="H58" s="1"/>
      <c r="I58" s="3"/>
      <c r="K58" s="1"/>
      <c r="L58" s="6"/>
      <c r="M58" s="86"/>
      <c r="N58" s="86"/>
      <c r="O58" s="3"/>
      <c r="P58" s="87"/>
      <c r="Q58" s="88"/>
      <c r="R58" s="49"/>
      <c r="S58" s="89"/>
      <c r="T58" s="90"/>
      <c r="U58" s="50"/>
      <c r="V58" s="50"/>
      <c r="W58" s="50"/>
      <c r="X58" s="50"/>
      <c r="Y58" s="50"/>
      <c r="Z58" s="91"/>
      <c r="AA58" s="3">
        <v>58</v>
      </c>
      <c r="AC58" s="3"/>
      <c r="AD58" s="99" t="e">
        <f>REPLACE(INDEX(GroupVertices[Group], MATCH(Vertices[[#This Row],[Vertex]],GroupVertices[Vertex],0)),1,1,"")</f>
        <v>#N/A</v>
      </c>
    </row>
    <row r="59" spans="2:30" x14ac:dyDescent="0.25">
      <c r="G59" s="112"/>
      <c r="Q59" s="122"/>
      <c r="R59" s="49"/>
      <c r="S59" s="124"/>
      <c r="T59" s="122"/>
      <c r="U59" s="50"/>
      <c r="V59" s="50"/>
      <c r="W59" s="50"/>
      <c r="X59" s="50"/>
      <c r="Y59" s="50"/>
      <c r="Z59" s="124"/>
      <c r="AA59" s="3">
        <v>59</v>
      </c>
      <c r="AD59" s="99" t="e">
        <f>REPLACE(INDEX(GroupVertices[Group], MATCH(Vertices[[#This Row],[Vertex]],GroupVertices[Vertex],0)),1,1,"")</f>
        <v>#N/A</v>
      </c>
    </row>
    <row r="60" spans="2:30" x14ac:dyDescent="0.25">
      <c r="G60" s="112"/>
      <c r="Q60" s="122"/>
      <c r="R60" s="49"/>
      <c r="S60" s="124"/>
      <c r="T60" s="122"/>
      <c r="U60" s="50"/>
      <c r="V60" s="50"/>
      <c r="W60" s="50"/>
      <c r="X60" s="50"/>
      <c r="Y60" s="50"/>
      <c r="Z60" s="124"/>
      <c r="AA60" s="3">
        <v>60</v>
      </c>
      <c r="AD60" s="99" t="e">
        <f>REPLACE(INDEX(GroupVertices[Group], MATCH(Vertices[[#This Row],[Vertex]],GroupVertices[Vertex],0)),1,1,"")</f>
        <v>#N/A</v>
      </c>
    </row>
    <row r="61" spans="2:30" x14ac:dyDescent="0.25">
      <c r="B61" s="3"/>
      <c r="C61" s="3"/>
      <c r="D61" s="6"/>
      <c r="E61" s="2"/>
      <c r="F61" s="3"/>
      <c r="G61" s="3"/>
      <c r="H61" s="1"/>
      <c r="I61" s="3"/>
      <c r="K61" s="1"/>
      <c r="L61" s="6"/>
      <c r="M61" s="86"/>
      <c r="N61" s="86"/>
      <c r="O61" s="3"/>
      <c r="P61" s="87"/>
      <c r="Q61" s="88"/>
      <c r="R61" s="49"/>
      <c r="S61" s="89"/>
      <c r="T61" s="90"/>
      <c r="U61" s="50"/>
      <c r="V61" s="50"/>
      <c r="W61" s="50"/>
      <c r="X61" s="50"/>
      <c r="Y61" s="50"/>
      <c r="Z61" s="91"/>
      <c r="AA61" s="3">
        <v>61</v>
      </c>
      <c r="AC61" s="3"/>
      <c r="AD61" s="99" t="e">
        <f>REPLACE(INDEX(GroupVertices[Group], MATCH(Vertices[[#This Row],[Vertex]],GroupVertices[Vertex],0)),1,1,"")</f>
        <v>#N/A</v>
      </c>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61">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22"/>
  <sheetViews>
    <sheetView workbookViewId="0">
      <pane ySplit="2" topLeftCell="A3" activePane="bottomLeft" state="frozen"/>
      <selection pane="bottomLeft" activeCell="A2" sqref="A2:X2"/>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98" t="s">
        <v>184</v>
      </c>
      <c r="B3" s="100" t="s">
        <v>188</v>
      </c>
      <c r="C3" s="100" t="s">
        <v>57</v>
      </c>
      <c r="D3" s="93"/>
      <c r="E3" s="92"/>
      <c r="F3" s="94"/>
      <c r="G3" s="95"/>
      <c r="H3" s="95"/>
      <c r="I3" s="96">
        <v>3</v>
      </c>
      <c r="J3" s="97"/>
      <c r="K3" s="49">
        <v>9</v>
      </c>
      <c r="L3" s="49">
        <v>11</v>
      </c>
      <c r="M3" s="49">
        <v>0</v>
      </c>
      <c r="N3" s="49">
        <v>11</v>
      </c>
      <c r="O3" s="49">
        <v>0</v>
      </c>
      <c r="P3" s="50" t="s">
        <v>182</v>
      </c>
      <c r="Q3" s="50" t="s">
        <v>182</v>
      </c>
      <c r="R3" s="49">
        <v>1</v>
      </c>
      <c r="S3" s="49">
        <v>0</v>
      </c>
      <c r="T3" s="49">
        <v>9</v>
      </c>
      <c r="U3" s="49">
        <v>11</v>
      </c>
      <c r="V3" s="49">
        <v>3</v>
      </c>
      <c r="W3" s="50">
        <v>1.6543209999999999</v>
      </c>
      <c r="X3" s="50">
        <v>0.30555555555555558</v>
      </c>
    </row>
    <row r="4" spans="1:24" x14ac:dyDescent="0.25">
      <c r="A4" s="119" t="s">
        <v>185</v>
      </c>
      <c r="B4" s="100" t="s">
        <v>189</v>
      </c>
      <c r="C4" s="100" t="s">
        <v>57</v>
      </c>
      <c r="D4" s="128"/>
      <c r="E4" s="12"/>
      <c r="F4" s="118"/>
      <c r="G4" s="12"/>
      <c r="H4" s="12"/>
      <c r="I4" s="129">
        <v>4</v>
      </c>
      <c r="J4" s="117"/>
      <c r="K4" s="49">
        <v>4</v>
      </c>
      <c r="L4" s="49">
        <v>3</v>
      </c>
      <c r="M4" s="49">
        <v>0</v>
      </c>
      <c r="N4" s="49">
        <v>3</v>
      </c>
      <c r="O4" s="49">
        <v>0</v>
      </c>
      <c r="P4" s="50" t="s">
        <v>182</v>
      </c>
      <c r="Q4" s="50" t="s">
        <v>182</v>
      </c>
      <c r="R4" s="49">
        <v>1</v>
      </c>
      <c r="S4" s="49">
        <v>0</v>
      </c>
      <c r="T4" s="49">
        <v>4</v>
      </c>
      <c r="U4" s="49">
        <v>3</v>
      </c>
      <c r="V4" s="49">
        <v>3</v>
      </c>
      <c r="W4" s="50">
        <v>1.25</v>
      </c>
      <c r="X4" s="50">
        <v>0.5</v>
      </c>
    </row>
    <row r="5" spans="1:24" x14ac:dyDescent="0.25">
      <c r="A5" s="119" t="s">
        <v>186</v>
      </c>
      <c r="B5" s="100" t="s">
        <v>190</v>
      </c>
      <c r="C5" s="100" t="s">
        <v>57</v>
      </c>
      <c r="D5" s="128"/>
      <c r="E5" s="12"/>
      <c r="F5" s="118"/>
      <c r="G5" s="12"/>
      <c r="H5" s="12"/>
      <c r="I5" s="129">
        <v>5</v>
      </c>
      <c r="J5" s="117"/>
      <c r="K5" s="49">
        <v>2</v>
      </c>
      <c r="L5" s="49">
        <v>1</v>
      </c>
      <c r="M5" s="49">
        <v>0</v>
      </c>
      <c r="N5" s="49">
        <v>1</v>
      </c>
      <c r="O5" s="49">
        <v>0</v>
      </c>
      <c r="P5" s="50" t="s">
        <v>182</v>
      </c>
      <c r="Q5" s="50" t="s">
        <v>182</v>
      </c>
      <c r="R5" s="49">
        <v>1</v>
      </c>
      <c r="S5" s="49">
        <v>0</v>
      </c>
      <c r="T5" s="49">
        <v>2</v>
      </c>
      <c r="U5" s="49">
        <v>1</v>
      </c>
      <c r="V5" s="49">
        <v>1</v>
      </c>
      <c r="W5" s="50">
        <v>0.5</v>
      </c>
      <c r="X5" s="50">
        <v>1</v>
      </c>
    </row>
    <row r="6" spans="1:24" x14ac:dyDescent="0.25">
      <c r="A6" s="119" t="s">
        <v>187</v>
      </c>
      <c r="B6" s="100" t="s">
        <v>191</v>
      </c>
      <c r="C6" s="100" t="s">
        <v>57</v>
      </c>
      <c r="D6" s="128"/>
      <c r="E6" s="12"/>
      <c r="F6" s="118"/>
      <c r="G6" s="12"/>
      <c r="H6" s="12"/>
      <c r="I6" s="129">
        <v>6</v>
      </c>
      <c r="J6" s="117"/>
      <c r="K6" s="49">
        <v>2</v>
      </c>
      <c r="L6" s="49">
        <v>1</v>
      </c>
      <c r="M6" s="49">
        <v>0</v>
      </c>
      <c r="N6" s="49">
        <v>1</v>
      </c>
      <c r="O6" s="49">
        <v>0</v>
      </c>
      <c r="P6" s="50" t="s">
        <v>182</v>
      </c>
      <c r="Q6" s="50" t="s">
        <v>182</v>
      </c>
      <c r="R6" s="49">
        <v>1</v>
      </c>
      <c r="S6" s="49">
        <v>0</v>
      </c>
      <c r="T6" s="49">
        <v>2</v>
      </c>
      <c r="U6" s="49">
        <v>1</v>
      </c>
      <c r="V6" s="49">
        <v>1</v>
      </c>
      <c r="W6" s="50">
        <v>0.5</v>
      </c>
      <c r="X6" s="50">
        <v>1</v>
      </c>
    </row>
    <row r="7" spans="1:24" x14ac:dyDescent="0.25">
      <c r="A7"/>
    </row>
    <row r="8" spans="1:24" x14ac:dyDescent="0.25">
      <c r="A8"/>
    </row>
    <row r="9" spans="1:24" x14ac:dyDescent="0.25">
      <c r="A9"/>
    </row>
    <row r="10" spans="1:24" ht="14.25" customHeight="1" x14ac:dyDescent="0.25">
      <c r="A10"/>
    </row>
    <row r="11" spans="1:24" x14ac:dyDescent="0.25">
      <c r="A11"/>
    </row>
    <row r="12" spans="1:24" x14ac:dyDescent="0.25">
      <c r="A12"/>
    </row>
    <row r="13" spans="1:24" x14ac:dyDescent="0.25">
      <c r="A13"/>
    </row>
    <row r="14" spans="1:24" x14ac:dyDescent="0.25">
      <c r="A14"/>
    </row>
    <row r="15" spans="1:24" x14ac:dyDescent="0.25">
      <c r="A15"/>
    </row>
    <row r="16" spans="1:24" x14ac:dyDescent="0.25">
      <c r="A16"/>
    </row>
    <row r="17" spans="1:1" x14ac:dyDescent="0.25">
      <c r="A17"/>
    </row>
    <row r="18" spans="1:1" x14ac:dyDescent="0.25">
      <c r="A18"/>
    </row>
    <row r="19" spans="1:1" x14ac:dyDescent="0.25">
      <c r="A19"/>
    </row>
    <row r="20" spans="1:1" x14ac:dyDescent="0.25">
      <c r="A20"/>
    </row>
    <row r="21" spans="1:1" x14ac:dyDescent="0.25">
      <c r="A21"/>
    </row>
    <row r="22" spans="1:1" x14ac:dyDescent="0.25">
      <c r="A22"/>
    </row>
  </sheetData>
  <dataConsolidate/>
  <dataValidations count="8">
    <dataValidation allowBlank="1" showInputMessage="1" promptTitle="Group Vertex Color" prompt="To select a color to use for all vertices in the group, right-click and select Select Color on the right-click menu." sqref="B3:B6"/>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6">
      <formula1>ValidGroupShapes</formula1>
    </dataValidation>
    <dataValidation allowBlank="1" showInputMessage="1" showErrorMessage="1" promptTitle="Group Name" prompt="Enter the name of the group." sqref="A3:A6"/>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6">
      <formula1>ValidBooleansDefaultFalse</formula1>
    </dataValidation>
    <dataValidation allowBlank="1" sqref="K3:K6"/>
    <dataValidation allowBlank="1" showInputMessage="1" showErrorMessage="1" errorTitle="Invalid Group Collapsed" error="You have entered an unrecognized &quot;group collapsed.&quot;  Try selecting from the drop-down list instead." promptTitle="Group Label" prompt="Enter an optional group label." sqref="F3:F6"/>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6"/>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6">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60"/>
  <sheetViews>
    <sheetView workbookViewId="0">
      <selection activeCell="B18" sqref="B18"/>
    </sheetView>
  </sheetViews>
  <sheetFormatPr defaultRowHeight="15" x14ac:dyDescent="0.25"/>
  <cols>
    <col min="1" max="1" width="8.85546875" style="1" bestFit="1" customWidth="1"/>
    <col min="2" max="2" width="60.85546875" style="1" bestFit="1" customWidth="1"/>
    <col min="3" max="3" width="11.5703125" bestFit="1" customWidth="1"/>
    <col min="4" max="4" width="9.140625" customWidth="1"/>
  </cols>
  <sheetData>
    <row r="1" spans="1:3" ht="15" customHeight="1" x14ac:dyDescent="0.25">
      <c r="A1" s="11" t="s">
        <v>145</v>
      </c>
      <c r="B1" s="11" t="s">
        <v>5</v>
      </c>
      <c r="C1" s="11" t="s">
        <v>148</v>
      </c>
    </row>
    <row r="2" spans="1:3" x14ac:dyDescent="0.25">
      <c r="A2" s="99" t="s">
        <v>184</v>
      </c>
      <c r="B2" s="101" t="s">
        <v>210</v>
      </c>
      <c r="C2" s="99">
        <f>VLOOKUP(GroupVertices[[#This Row],[Vertex]], Vertices[], MATCH("ID", Vertices[#Headers], 0), FALSE)</f>
        <v>13</v>
      </c>
    </row>
    <row r="3" spans="1:3" x14ac:dyDescent="0.25">
      <c r="A3" s="99" t="s">
        <v>184</v>
      </c>
      <c r="B3" s="101" t="s">
        <v>209</v>
      </c>
      <c r="C3" s="99">
        <f>VLOOKUP(GroupVertices[[#This Row],[Vertex]], Vertices[], MATCH("ID", Vertices[#Headers], 0), FALSE)</f>
        <v>12</v>
      </c>
    </row>
    <row r="4" spans="1:3" x14ac:dyDescent="0.25">
      <c r="A4" s="99" t="s">
        <v>184</v>
      </c>
      <c r="B4" s="101" t="s">
        <v>214</v>
      </c>
      <c r="C4" s="99">
        <f>VLOOKUP(GroupVertices[[#This Row],[Vertex]], Vertices[], MATCH("ID", Vertices[#Headers], 0), FALSE)</f>
        <v>17</v>
      </c>
    </row>
    <row r="5" spans="1:3" x14ac:dyDescent="0.25">
      <c r="A5" s="99" t="s">
        <v>184</v>
      </c>
      <c r="B5" s="101" t="s">
        <v>216</v>
      </c>
      <c r="C5" s="99">
        <f>VLOOKUP(GroupVertices[[#This Row],[Vertex]], Vertices[], MATCH("ID", Vertices[#Headers], 0), FALSE)</f>
        <v>19</v>
      </c>
    </row>
    <row r="6" spans="1:3" x14ac:dyDescent="0.25">
      <c r="A6" s="99" t="s">
        <v>184</v>
      </c>
      <c r="B6" s="101" t="s">
        <v>211</v>
      </c>
      <c r="C6" s="99">
        <f>VLOOKUP(GroupVertices[[#This Row],[Vertex]], Vertices[], MATCH("ID", Vertices[#Headers], 0), FALSE)</f>
        <v>14</v>
      </c>
    </row>
    <row r="7" spans="1:3" x14ac:dyDescent="0.25">
      <c r="A7" s="99" t="s">
        <v>184</v>
      </c>
      <c r="B7" s="101" t="s">
        <v>212</v>
      </c>
      <c r="C7" s="99">
        <f>VLOOKUP(GroupVertices[[#This Row],[Vertex]], Vertices[], MATCH("ID", Vertices[#Headers], 0), FALSE)</f>
        <v>15</v>
      </c>
    </row>
    <row r="8" spans="1:3" x14ac:dyDescent="0.25">
      <c r="A8" s="99" t="s">
        <v>184</v>
      </c>
      <c r="B8" s="101" t="s">
        <v>213</v>
      </c>
      <c r="C8" s="99">
        <f>VLOOKUP(GroupVertices[[#This Row],[Vertex]], Vertices[], MATCH("ID", Vertices[#Headers], 0), FALSE)</f>
        <v>16</v>
      </c>
    </row>
    <row r="9" spans="1:3" x14ac:dyDescent="0.25">
      <c r="A9" s="99" t="s">
        <v>184</v>
      </c>
      <c r="B9" s="101" t="s">
        <v>208</v>
      </c>
      <c r="C9" s="99">
        <f>VLOOKUP(GroupVertices[[#This Row],[Vertex]], Vertices[], MATCH("ID", Vertices[#Headers], 0), FALSE)</f>
        <v>11</v>
      </c>
    </row>
    <row r="10" spans="1:3" x14ac:dyDescent="0.25">
      <c r="A10" s="99" t="s">
        <v>184</v>
      </c>
      <c r="B10" s="101" t="s">
        <v>207</v>
      </c>
      <c r="C10" s="99">
        <f>VLOOKUP(GroupVertices[[#This Row],[Vertex]], Vertices[], MATCH("ID", Vertices[#Headers], 0), FALSE)</f>
        <v>10</v>
      </c>
    </row>
    <row r="11" spans="1:3" x14ac:dyDescent="0.25">
      <c r="A11" s="99" t="s">
        <v>185</v>
      </c>
      <c r="B11" s="101" t="s">
        <v>203</v>
      </c>
      <c r="C11" s="99">
        <f>VLOOKUP(GroupVertices[[#This Row],[Vertex]], Vertices[], MATCH("ID", Vertices[#Headers], 0), FALSE)</f>
        <v>6</v>
      </c>
    </row>
    <row r="12" spans="1:3" x14ac:dyDescent="0.25">
      <c r="A12" s="99" t="s">
        <v>185</v>
      </c>
      <c r="B12" s="101" t="s">
        <v>215</v>
      </c>
      <c r="C12" s="99">
        <f>VLOOKUP(GroupVertices[[#This Row],[Vertex]], Vertices[], MATCH("ID", Vertices[#Headers], 0), FALSE)</f>
        <v>18</v>
      </c>
    </row>
    <row r="13" spans="1:3" x14ac:dyDescent="0.25">
      <c r="A13" s="99" t="s">
        <v>185</v>
      </c>
      <c r="B13" s="101" t="s">
        <v>204</v>
      </c>
      <c r="C13" s="99">
        <f>VLOOKUP(GroupVertices[[#This Row],[Vertex]], Vertices[], MATCH("ID", Vertices[#Headers], 0), FALSE)</f>
        <v>7</v>
      </c>
    </row>
    <row r="14" spans="1:3" x14ac:dyDescent="0.25">
      <c r="A14" s="99" t="s">
        <v>185</v>
      </c>
      <c r="B14" s="101" t="s">
        <v>202</v>
      </c>
      <c r="C14" s="99">
        <f>VLOOKUP(GroupVertices[[#This Row],[Vertex]], Vertices[], MATCH("ID", Vertices[#Headers], 0), FALSE)</f>
        <v>5</v>
      </c>
    </row>
    <row r="15" spans="1:3" x14ac:dyDescent="0.25">
      <c r="A15" s="99" t="s">
        <v>186</v>
      </c>
      <c r="B15" s="101" t="s">
        <v>201</v>
      </c>
      <c r="C15" s="99">
        <f>VLOOKUP(GroupVertices[[#This Row],[Vertex]], Vertices[], MATCH("ID", Vertices[#Headers], 0), FALSE)</f>
        <v>4</v>
      </c>
    </row>
    <row r="16" spans="1:3" x14ac:dyDescent="0.25">
      <c r="A16" s="99" t="s">
        <v>186</v>
      </c>
      <c r="B16" s="101" t="s">
        <v>200</v>
      </c>
      <c r="C16" s="99">
        <f>VLOOKUP(GroupVertices[[#This Row],[Vertex]], Vertices[], MATCH("ID", Vertices[#Headers], 0), FALSE)</f>
        <v>3</v>
      </c>
    </row>
    <row r="17" spans="1:3" x14ac:dyDescent="0.25">
      <c r="A17" s="99" t="s">
        <v>187</v>
      </c>
      <c r="B17" s="101" t="s">
        <v>206</v>
      </c>
      <c r="C17" s="99">
        <f>VLOOKUP(GroupVertices[[#This Row],[Vertex]], Vertices[], MATCH("ID", Vertices[#Headers], 0), FALSE)</f>
        <v>9</v>
      </c>
    </row>
    <row r="18" spans="1:3" x14ac:dyDescent="0.25">
      <c r="A18" s="99" t="s">
        <v>187</v>
      </c>
      <c r="B18" s="101" t="s">
        <v>205</v>
      </c>
      <c r="C18" s="99">
        <f>VLOOKUP(GroupVertices[[#This Row],[Vertex]], Vertices[], MATCH("ID", Vertices[#Headers], 0), FALSE)</f>
        <v>8</v>
      </c>
    </row>
    <row r="19" spans="1:3" x14ac:dyDescent="0.25">
      <c r="A19"/>
      <c r="B19"/>
    </row>
    <row r="20" spans="1:3" x14ac:dyDescent="0.25">
      <c r="A20"/>
      <c r="B20"/>
    </row>
    <row r="21" spans="1:3" x14ac:dyDescent="0.25">
      <c r="A21"/>
      <c r="B21"/>
    </row>
    <row r="22" spans="1:3" x14ac:dyDescent="0.25">
      <c r="A22"/>
      <c r="B22"/>
    </row>
    <row r="23" spans="1:3" x14ac:dyDescent="0.25">
      <c r="A23"/>
      <c r="B23"/>
    </row>
    <row r="24" spans="1:3" x14ac:dyDescent="0.25">
      <c r="A24"/>
      <c r="B24"/>
    </row>
    <row r="25" spans="1:3" x14ac:dyDescent="0.25">
      <c r="A25"/>
      <c r="B25"/>
    </row>
    <row r="26" spans="1:3" x14ac:dyDescent="0.25">
      <c r="A26"/>
      <c r="B26"/>
    </row>
    <row r="27" spans="1:3" x14ac:dyDescent="0.25">
      <c r="A27"/>
      <c r="B27"/>
    </row>
    <row r="28" spans="1:3" x14ac:dyDescent="0.25">
      <c r="A28"/>
      <c r="B28"/>
    </row>
    <row r="29" spans="1:3" x14ac:dyDescent="0.25">
      <c r="A29"/>
      <c r="B29"/>
    </row>
    <row r="30" spans="1:3" x14ac:dyDescent="0.25">
      <c r="A30"/>
      <c r="B30"/>
    </row>
    <row r="31" spans="1:3" x14ac:dyDescent="0.25">
      <c r="A31"/>
      <c r="B31"/>
    </row>
    <row r="32" spans="1:3" x14ac:dyDescent="0.25">
      <c r="A32"/>
      <c r="B32"/>
    </row>
    <row r="33" spans="1:2" x14ac:dyDescent="0.25">
      <c r="A33"/>
      <c r="B33"/>
    </row>
    <row r="34" spans="1:2" x14ac:dyDescent="0.25">
      <c r="A34"/>
      <c r="B34"/>
    </row>
    <row r="35" spans="1:2" x14ac:dyDescent="0.25">
      <c r="A35"/>
      <c r="B35"/>
    </row>
    <row r="36" spans="1:2" x14ac:dyDescent="0.25">
      <c r="A36"/>
      <c r="B36"/>
    </row>
    <row r="37" spans="1:2" x14ac:dyDescent="0.25">
      <c r="A37"/>
      <c r="B37"/>
    </row>
    <row r="38" spans="1:2" x14ac:dyDescent="0.25">
      <c r="A38"/>
      <c r="B38"/>
    </row>
    <row r="39" spans="1:2" x14ac:dyDescent="0.25">
      <c r="A39"/>
      <c r="B39"/>
    </row>
    <row r="40" spans="1:2" x14ac:dyDescent="0.25">
      <c r="A40"/>
      <c r="B40"/>
    </row>
    <row r="41" spans="1:2" x14ac:dyDescent="0.25">
      <c r="A41"/>
      <c r="B41"/>
    </row>
    <row r="42" spans="1:2" x14ac:dyDescent="0.25">
      <c r="A42"/>
      <c r="B42"/>
    </row>
    <row r="43" spans="1:2" x14ac:dyDescent="0.25">
      <c r="A43"/>
      <c r="B43"/>
    </row>
    <row r="44" spans="1:2" x14ac:dyDescent="0.25">
      <c r="A44"/>
      <c r="B44"/>
    </row>
    <row r="45" spans="1:2" x14ac:dyDescent="0.25">
      <c r="A45"/>
      <c r="B45"/>
    </row>
    <row r="46" spans="1:2" x14ac:dyDescent="0.25">
      <c r="A46"/>
      <c r="B46"/>
    </row>
    <row r="47" spans="1:2" x14ac:dyDescent="0.25">
      <c r="A47"/>
      <c r="B47"/>
    </row>
    <row r="48" spans="1:2" x14ac:dyDescent="0.25">
      <c r="A48"/>
      <c r="B48"/>
    </row>
    <row r="49" spans="1:2" x14ac:dyDescent="0.25">
      <c r="A49"/>
      <c r="B49"/>
    </row>
    <row r="50" spans="1:2" x14ac:dyDescent="0.25">
      <c r="A50"/>
      <c r="B50"/>
    </row>
    <row r="51" spans="1:2" x14ac:dyDescent="0.25">
      <c r="A51"/>
      <c r="B51"/>
    </row>
    <row r="52" spans="1:2" x14ac:dyDescent="0.25">
      <c r="A52"/>
      <c r="B52"/>
    </row>
    <row r="53" spans="1:2" x14ac:dyDescent="0.25">
      <c r="A53"/>
      <c r="B53"/>
    </row>
    <row r="54" spans="1:2" x14ac:dyDescent="0.25">
      <c r="A54"/>
      <c r="B54"/>
    </row>
    <row r="55" spans="1:2" x14ac:dyDescent="0.25">
      <c r="A55"/>
      <c r="B55"/>
    </row>
    <row r="56" spans="1:2" x14ac:dyDescent="0.25">
      <c r="A56"/>
      <c r="B56"/>
    </row>
    <row r="57" spans="1:2" x14ac:dyDescent="0.25">
      <c r="A57"/>
      <c r="B57"/>
    </row>
    <row r="58" spans="1:2" x14ac:dyDescent="0.25">
      <c r="A58"/>
      <c r="B58"/>
    </row>
    <row r="59" spans="1:2" x14ac:dyDescent="0.25">
      <c r="A59"/>
      <c r="B59"/>
    </row>
    <row r="60" spans="1:2" x14ac:dyDescent="0.25">
      <c r="A60"/>
      <c r="B60"/>
    </row>
  </sheetData>
  <dataConsolidate/>
  <dataValidations xWindow="58" yWindow="226" count="3">
    <dataValidation allowBlank="1" showInputMessage="1" showErrorMessage="1" promptTitle="Group Name" prompt="Enter the name of the group.  The group name must also be entered on the Groups worksheet." sqref="A2:A18"/>
    <dataValidation allowBlank="1" showInputMessage="1" showErrorMessage="1" promptTitle="Vertex Name" prompt="Enter the name of a vertex to include in the group." sqref="B2:B18"/>
    <dataValidation allowBlank="1" showInputMessage="1" promptTitle="Vertex ID" prompt="This is the value of the hidden ID cell in the Vertices worksheet.  It gets filled in by the items on the NodeXL, Analysis, Groups menu." sqref="C2:C18"/>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B10" sqref="B10"/>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179</v>
      </c>
      <c r="B2" s="34" t="s">
        <v>31</v>
      </c>
      <c r="D2" s="31">
        <f>MIN(Vertices[Degree])</f>
        <v>1</v>
      </c>
      <c r="E2" s="3">
        <f>COUNTIF(Vertices[Degree], "&gt;= " &amp; D2) - COUNTIF(Vertices[Degree], "&gt;=" &amp; D3)</f>
        <v>10</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13</v>
      </c>
      <c r="L2" s="37">
        <f>MIN(Vertices[Closeness Centrality])</f>
        <v>4.7619000000000002E-2</v>
      </c>
      <c r="M2" s="38">
        <f>COUNTIF(Vertices[Closeness Centrality], "&gt;= " &amp; L2) - COUNTIF(Vertices[Closeness Centrality], "&gt;=" &amp; L3)</f>
        <v>4</v>
      </c>
      <c r="N2" s="37">
        <f>MIN(Vertices[Eigenvector Centrality])</f>
        <v>0</v>
      </c>
      <c r="O2" s="38">
        <f>COUNTIF(Vertices[Eigenvector Centrality], "&gt;= " &amp; N2) - COUNTIF(Vertices[Eigenvector Centrality], "&gt;=" &amp; N3)</f>
        <v>8</v>
      </c>
      <c r="P2" s="37">
        <f>MIN(Vertices[PageRank])</f>
        <v>0.48067500000000002</v>
      </c>
      <c r="Q2" s="38">
        <f>COUNTIF(Vertices[PageRank], "&gt;= " &amp; P2) - COUNTIF(Vertices[PageRank], "&gt;=" &amp; P3)</f>
        <v>3</v>
      </c>
      <c r="R2" s="37">
        <f>MIN(Vertices[Clustering Coefficient])</f>
        <v>0</v>
      </c>
      <c r="S2" s="43">
        <f>COUNTIF(Vertices[Clustering Coefficient], "&gt;= " &amp; R2) - COUNTIF(Vertices[Clustering Coefficient], "&gt;=" &amp; R3)</f>
        <v>13</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1.1090909090909091</v>
      </c>
      <c r="E3" s="3">
        <f>COUNTIF(Vertices[Degree], "&gt;= " &amp; D3) - COUNTIF(Vertices[Degree], "&gt;=" &amp; D4)</f>
        <v>0</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0.43636363636363634</v>
      </c>
      <c r="K3" s="40">
        <f>COUNTIF(Vertices[Betweenness Centrality], "&gt;= " &amp; J3) - COUNTIF(Vertices[Betweenness Centrality], "&gt;=" &amp; J4)</f>
        <v>0</v>
      </c>
      <c r="L3" s="39">
        <f t="shared" ref="L3:L26" si="5">L2+($L$57-$L$2)/BinDivisor</f>
        <v>6.4935018181818183E-2</v>
      </c>
      <c r="M3" s="40">
        <f>COUNTIF(Vertices[Closeness Centrality], "&gt;= " &amp; L3) - COUNTIF(Vertices[Closeness Centrality], "&gt;=" &amp; L4)</f>
        <v>4</v>
      </c>
      <c r="N3" s="39">
        <f t="shared" ref="N3:N26" si="6">N2+($N$57-$N$2)/BinDivisor</f>
        <v>4.0604727272727272E-3</v>
      </c>
      <c r="O3" s="40">
        <f>COUNTIF(Vertices[Eigenvector Centrality], "&gt;= " &amp; N3) - COUNTIF(Vertices[Eigenvector Centrality], "&gt;=" &amp; N4)</f>
        <v>0</v>
      </c>
      <c r="P3" s="39">
        <f t="shared" ref="P3:P26" si="7">P2+($P$57-$P$2)/BinDivisor</f>
        <v>0.52144849090909096</v>
      </c>
      <c r="Q3" s="40">
        <f>COUNTIF(Vertices[PageRank], "&gt;= " &amp; P3) - COUNTIF(Vertices[PageRank], "&gt;=" &amp; P4)</f>
        <v>1</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17</v>
      </c>
      <c r="D4" s="32">
        <f t="shared" si="1"/>
        <v>1.2181818181818183</v>
      </c>
      <c r="E4" s="3">
        <f>COUNTIF(Vertices[Degree], "&gt;= " &amp; D4) - COUNTIF(Vertices[Degree], "&gt;=" &amp; D5)</f>
        <v>0</v>
      </c>
      <c r="F4" s="37">
        <f t="shared" si="2"/>
        <v>0</v>
      </c>
      <c r="G4" s="38">
        <f>COUNTIF(Vertices[In-Degree], "&gt;= " &amp; F4) - COUNTIF(Vertices[In-Degree], "&gt;=" &amp; F5)</f>
        <v>0</v>
      </c>
      <c r="H4" s="37">
        <f t="shared" si="3"/>
        <v>0</v>
      </c>
      <c r="I4" s="38">
        <f>COUNTIF(Vertices[Out-Degree], "&gt;= " &amp; H4) - COUNTIF(Vertices[Out-Degree], "&gt;=" &amp; H5)</f>
        <v>0</v>
      </c>
      <c r="J4" s="37">
        <f t="shared" si="4"/>
        <v>0.87272727272727268</v>
      </c>
      <c r="K4" s="38">
        <f>COUNTIF(Vertices[Betweenness Centrality], "&gt;= " &amp; J4) - COUNTIF(Vertices[Betweenness Centrality], "&gt;=" &amp; J5)</f>
        <v>0</v>
      </c>
      <c r="L4" s="37">
        <f t="shared" si="5"/>
        <v>8.2251036363636371E-2</v>
      </c>
      <c r="M4" s="38">
        <f>COUNTIF(Vertices[Closeness Centrality], "&gt;= " &amp; L4) - COUNTIF(Vertices[Closeness Centrality], "&gt;=" &amp; L5)</f>
        <v>0</v>
      </c>
      <c r="N4" s="37">
        <f t="shared" si="6"/>
        <v>8.1209454545454543E-3</v>
      </c>
      <c r="O4" s="38">
        <f>COUNTIF(Vertices[Eigenvector Centrality], "&gt;= " &amp; N4) - COUNTIF(Vertices[Eigenvector Centrality], "&gt;=" &amp; N5)</f>
        <v>0</v>
      </c>
      <c r="P4" s="37">
        <f t="shared" si="7"/>
        <v>0.56222198181818184</v>
      </c>
      <c r="Q4" s="38">
        <f>COUNTIF(Vertices[PageRank], "&gt;= " &amp; P4) - COUNTIF(Vertices[PageRank], "&gt;=" &amp; P5)</f>
        <v>0</v>
      </c>
      <c r="R4" s="37">
        <f t="shared" si="8"/>
        <v>3.6363636363636362E-2</v>
      </c>
      <c r="S4" s="43">
        <f>COUNTIF(Vertices[Clustering Coefficient], "&gt;= " &amp; R4) - COUNTIF(Vertices[Clustering Coefficient], "&gt;=" &amp; R5)</f>
        <v>0</v>
      </c>
      <c r="T4" s="37" t="e">
        <f t="shared" ca="1" si="9"/>
        <v>#REF!</v>
      </c>
      <c r="U4" s="38" t="e">
        <f t="shared" ca="1" si="0"/>
        <v>#REF!</v>
      </c>
      <c r="W4" s="12" t="s">
        <v>127</v>
      </c>
      <c r="X4" s="12" t="s">
        <v>129</v>
      </c>
    </row>
    <row r="5" spans="1:24" x14ac:dyDescent="0.25">
      <c r="A5" s="85"/>
      <c r="B5" s="85"/>
      <c r="D5" s="32">
        <f t="shared" si="1"/>
        <v>1.3272727272727274</v>
      </c>
      <c r="E5" s="3">
        <f>COUNTIF(Vertices[Degree], "&gt;= " &amp; D5) - COUNTIF(Vertices[Degree], "&gt;=" &amp; D6)</f>
        <v>0</v>
      </c>
      <c r="F5" s="39">
        <f t="shared" si="2"/>
        <v>0</v>
      </c>
      <c r="G5" s="40">
        <f>COUNTIF(Vertices[In-Degree], "&gt;= " &amp; F5) - COUNTIF(Vertices[In-Degree], "&gt;=" &amp; F6)</f>
        <v>0</v>
      </c>
      <c r="H5" s="39">
        <f t="shared" si="3"/>
        <v>0</v>
      </c>
      <c r="I5" s="40">
        <f>COUNTIF(Vertices[Out-Degree], "&gt;= " &amp; H5) - COUNTIF(Vertices[Out-Degree], "&gt;=" &amp; H6)</f>
        <v>0</v>
      </c>
      <c r="J5" s="39">
        <f t="shared" si="4"/>
        <v>1.3090909090909091</v>
      </c>
      <c r="K5" s="40">
        <f>COUNTIF(Vertices[Betweenness Centrality], "&gt;= " &amp; J5) - COUNTIF(Vertices[Betweenness Centrality], "&gt;=" &amp; J6)</f>
        <v>0</v>
      </c>
      <c r="L5" s="39">
        <f t="shared" si="5"/>
        <v>9.9567054545454559E-2</v>
      </c>
      <c r="M5" s="40">
        <f>COUNTIF(Vertices[Closeness Centrality], "&gt;= " &amp; L5) - COUNTIF(Vertices[Closeness Centrality], "&gt;=" &amp; L6)</f>
        <v>1</v>
      </c>
      <c r="N5" s="39">
        <f t="shared" si="6"/>
        <v>1.2181418181818181E-2</v>
      </c>
      <c r="O5" s="40">
        <f>COUNTIF(Vertices[Eigenvector Centrality], "&gt;= " &amp; N5) - COUNTIF(Vertices[Eigenvector Centrality], "&gt;=" &amp; N6)</f>
        <v>0</v>
      </c>
      <c r="P5" s="39">
        <f t="shared" si="7"/>
        <v>0.60299547272727272</v>
      </c>
      <c r="Q5" s="40">
        <f>COUNTIF(Vertices[PageRank], "&gt;= " &amp; P5) - COUNTIF(Vertices[PageRank], "&gt;=" &amp; P6)</f>
        <v>0</v>
      </c>
      <c r="R5" s="39">
        <f t="shared" si="8"/>
        <v>5.4545454545454543E-2</v>
      </c>
      <c r="S5" s="44">
        <f>COUNTIF(Vertices[Clustering Coefficient], "&gt;= " &amp; R5) - COUNTIF(Vertices[Clustering Coefficient], "&gt;=" &amp; R6)</f>
        <v>0</v>
      </c>
      <c r="T5" s="39" t="e">
        <f t="shared" ca="1" si="9"/>
        <v>#REF!</v>
      </c>
      <c r="U5" s="40" t="e">
        <f t="shared" ca="1" si="0"/>
        <v>#REF!</v>
      </c>
    </row>
    <row r="6" spans="1:24" x14ac:dyDescent="0.25">
      <c r="A6" s="34" t="s">
        <v>149</v>
      </c>
      <c r="B6" s="34">
        <v>16</v>
      </c>
      <c r="D6" s="32">
        <f t="shared" si="1"/>
        <v>1.4363636363636365</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1.7454545454545454</v>
      </c>
      <c r="K6" s="38">
        <f>COUNTIF(Vertices[Betweenness Centrality], "&gt;= " &amp; J6) - COUNTIF(Vertices[Betweenness Centrality], "&gt;=" &amp; J7)</f>
        <v>2</v>
      </c>
      <c r="L6" s="37">
        <f t="shared" si="5"/>
        <v>0.11688307272727275</v>
      </c>
      <c r="M6" s="38">
        <f>COUNTIF(Vertices[Closeness Centrality], "&gt;= " &amp; L6) - COUNTIF(Vertices[Closeness Centrality], "&gt;=" &amp; L7)</f>
        <v>0</v>
      </c>
      <c r="N6" s="37">
        <f t="shared" si="6"/>
        <v>1.6241890909090909E-2</v>
      </c>
      <c r="O6" s="38">
        <f>COUNTIF(Vertices[Eigenvector Centrality], "&gt;= " &amp; N6) - COUNTIF(Vertices[Eigenvector Centrality], "&gt;=" &amp; N7)</f>
        <v>0</v>
      </c>
      <c r="P6" s="37">
        <f t="shared" si="7"/>
        <v>0.6437689636363636</v>
      </c>
      <c r="Q6" s="38">
        <f>COUNTIF(Vertices[PageRank], "&gt;= " &amp; P6) - COUNTIF(Vertices[PageRank], "&gt;=" &amp; P7)</f>
        <v>0</v>
      </c>
      <c r="R6" s="37">
        <f t="shared" si="8"/>
        <v>7.2727272727272724E-2</v>
      </c>
      <c r="S6" s="43">
        <f>COUNTIF(Vertices[Clustering Coefficient], "&gt;= " &amp; R6) - COUNTIF(Vertices[Clustering Coefficient], "&gt;=" &amp; R7)</f>
        <v>0</v>
      </c>
      <c r="T6" s="37" t="e">
        <f t="shared" ca="1" si="9"/>
        <v>#REF!</v>
      </c>
      <c r="U6" s="38" t="e">
        <f t="shared" ca="1" si="0"/>
        <v>#REF!</v>
      </c>
    </row>
    <row r="7" spans="1:24" x14ac:dyDescent="0.25">
      <c r="A7" s="34" t="s">
        <v>150</v>
      </c>
      <c r="B7" s="34">
        <v>0</v>
      </c>
      <c r="D7" s="32">
        <f t="shared" si="1"/>
        <v>1.5454545454545456</v>
      </c>
      <c r="E7" s="3">
        <f>COUNTIF(Vertices[Degree], "&gt;= " &amp; D7) - COUNTIF(Vertices[Degree], "&gt;=" &amp; D8)</f>
        <v>0</v>
      </c>
      <c r="F7" s="39">
        <f t="shared" si="2"/>
        <v>0</v>
      </c>
      <c r="G7" s="40">
        <f>COUNTIF(Vertices[In-Degree], "&gt;= " &amp; F7) - COUNTIF(Vertices[In-Degree], "&gt;=" &amp; F8)</f>
        <v>0</v>
      </c>
      <c r="H7" s="39">
        <f t="shared" si="3"/>
        <v>0</v>
      </c>
      <c r="I7" s="40">
        <f>COUNTIF(Vertices[Out-Degree], "&gt;= " &amp; H7) - COUNTIF(Vertices[Out-Degree], "&gt;=" &amp; H8)</f>
        <v>0</v>
      </c>
      <c r="J7" s="39">
        <f t="shared" si="4"/>
        <v>2.1818181818181817</v>
      </c>
      <c r="K7" s="40">
        <f>COUNTIF(Vertices[Betweenness Centrality], "&gt;= " &amp; J7) - COUNTIF(Vertices[Betweenness Centrality], "&gt;=" &amp; J8)</f>
        <v>0</v>
      </c>
      <c r="L7" s="39">
        <f t="shared" si="5"/>
        <v>0.13419909090909093</v>
      </c>
      <c r="M7" s="40">
        <f>COUNTIF(Vertices[Closeness Centrality], "&gt;= " &amp; L7) - COUNTIF(Vertices[Closeness Centrality], "&gt;=" &amp; L8)</f>
        <v>0</v>
      </c>
      <c r="N7" s="39">
        <f t="shared" si="6"/>
        <v>2.0302363636363636E-2</v>
      </c>
      <c r="O7" s="40">
        <f>COUNTIF(Vertices[Eigenvector Centrality], "&gt;= " &amp; N7) - COUNTIF(Vertices[Eigenvector Centrality], "&gt;=" &amp; N8)</f>
        <v>1</v>
      </c>
      <c r="P7" s="39">
        <f t="shared" si="7"/>
        <v>0.68454245454545448</v>
      </c>
      <c r="Q7" s="40">
        <f>COUNTIF(Vertices[PageRank], "&gt;= " &amp; P7) - COUNTIF(Vertices[PageRank], "&gt;=" &amp; P8)</f>
        <v>2</v>
      </c>
      <c r="R7" s="39">
        <f t="shared" si="8"/>
        <v>9.0909090909090912E-2</v>
      </c>
      <c r="S7" s="44">
        <f>COUNTIF(Vertices[Clustering Coefficient], "&gt;= " &amp; R7) - COUNTIF(Vertices[Clustering Coefficient], "&gt;=" &amp; R8)</f>
        <v>0</v>
      </c>
      <c r="T7" s="39" t="e">
        <f t="shared" ca="1" si="9"/>
        <v>#REF!</v>
      </c>
      <c r="U7" s="40" t="e">
        <f t="shared" ca="1" si="0"/>
        <v>#REF!</v>
      </c>
    </row>
    <row r="8" spans="1:24" x14ac:dyDescent="0.25">
      <c r="A8" s="34" t="s">
        <v>151</v>
      </c>
      <c r="B8" s="34">
        <v>16</v>
      </c>
      <c r="D8" s="32">
        <f t="shared" si="1"/>
        <v>1.6545454545454548</v>
      </c>
      <c r="E8" s="3">
        <f>COUNTIF(Vertices[Degree], "&gt;= " &amp; D8) - COUNTIF(Vertices[Degree], "&gt;=" &amp; D9)</f>
        <v>0</v>
      </c>
      <c r="F8" s="37">
        <f t="shared" si="2"/>
        <v>0</v>
      </c>
      <c r="G8" s="38">
        <f>COUNTIF(Vertices[In-Degree], "&gt;= " &amp; F8) - COUNTIF(Vertices[In-Degree], "&gt;=" &amp; F9)</f>
        <v>0</v>
      </c>
      <c r="H8" s="37">
        <f t="shared" si="3"/>
        <v>0</v>
      </c>
      <c r="I8" s="38">
        <f>COUNTIF(Vertices[Out-Degree], "&gt;= " &amp; H8) - COUNTIF(Vertices[Out-Degree], "&gt;=" &amp; H9)</f>
        <v>0</v>
      </c>
      <c r="J8" s="37">
        <f t="shared" si="4"/>
        <v>2.6181818181818182</v>
      </c>
      <c r="K8" s="38">
        <f>COUNTIF(Vertices[Betweenness Centrality], "&gt;= " &amp; J8) - COUNTIF(Vertices[Betweenness Centrality], "&gt;=" &amp; J9)</f>
        <v>0</v>
      </c>
      <c r="L8" s="37">
        <f t="shared" si="5"/>
        <v>0.15151510909090912</v>
      </c>
      <c r="M8" s="38">
        <f>COUNTIF(Vertices[Closeness Centrality], "&gt;= " &amp; L8) - COUNTIF(Vertices[Closeness Centrality], "&gt;=" &amp; L9)</f>
        <v>2</v>
      </c>
      <c r="N8" s="37">
        <f t="shared" si="6"/>
        <v>2.4362836363636363E-2</v>
      </c>
      <c r="O8" s="38">
        <f>COUNTIF(Vertices[Eigenvector Centrality], "&gt;= " &amp; N8) - COUNTIF(Vertices[Eigenvector Centrality], "&gt;=" &amp; N9)</f>
        <v>0</v>
      </c>
      <c r="P8" s="37">
        <f t="shared" si="7"/>
        <v>0.72531594545454536</v>
      </c>
      <c r="Q8" s="38">
        <f>COUNTIF(Vertices[PageRank], "&gt;= " &amp; P8) - COUNTIF(Vertices[PageRank], "&gt;=" &amp; P9)</f>
        <v>0</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5"/>
      <c r="B9" s="85"/>
      <c r="D9" s="32">
        <f t="shared" si="1"/>
        <v>1.7636363636363639</v>
      </c>
      <c r="E9" s="3">
        <f>COUNTIF(Vertices[Degree], "&gt;= " &amp; D9) - COUNTIF(Vertices[Degree], "&gt;=" &amp; D10)</f>
        <v>0</v>
      </c>
      <c r="F9" s="39">
        <f t="shared" si="2"/>
        <v>0</v>
      </c>
      <c r="G9" s="40">
        <f>COUNTIF(Vertices[In-Degree], "&gt;= " &amp; F9) - COUNTIF(Vertices[In-Degree], "&gt;=" &amp; F10)</f>
        <v>0</v>
      </c>
      <c r="H9" s="39">
        <f t="shared" si="3"/>
        <v>0</v>
      </c>
      <c r="I9" s="40">
        <f>COUNTIF(Vertices[Out-Degree], "&gt;= " &amp; H9) - COUNTIF(Vertices[Out-Degree], "&gt;=" &amp; H10)</f>
        <v>0</v>
      </c>
      <c r="J9" s="39">
        <f t="shared" si="4"/>
        <v>3.0545454545454547</v>
      </c>
      <c r="K9" s="40">
        <f>COUNTIF(Vertices[Betweenness Centrality], "&gt;= " &amp; J9) - COUNTIF(Vertices[Betweenness Centrality], "&gt;=" &amp; J10)</f>
        <v>0</v>
      </c>
      <c r="L9" s="39">
        <f t="shared" si="5"/>
        <v>0.16883112727272731</v>
      </c>
      <c r="M9" s="40">
        <f>COUNTIF(Vertices[Closeness Centrality], "&gt;= " &amp; L9) - COUNTIF(Vertices[Closeness Centrality], "&gt;=" &amp; L10)</f>
        <v>0</v>
      </c>
      <c r="N9" s="39">
        <f t="shared" si="6"/>
        <v>2.842330909090909E-2</v>
      </c>
      <c r="O9" s="40">
        <f>COUNTIF(Vertices[Eigenvector Centrality], "&gt;= " &amp; N9) - COUNTIF(Vertices[Eigenvector Centrality], "&gt;=" &amp; N10)</f>
        <v>0</v>
      </c>
      <c r="P9" s="39">
        <f t="shared" si="7"/>
        <v>0.76608943636363624</v>
      </c>
      <c r="Q9" s="40">
        <f>COUNTIF(Vertices[PageRank], "&gt;= " &amp; P9) - COUNTIF(Vertices[PageRank], "&gt;=" &amp; P10)</f>
        <v>0</v>
      </c>
      <c r="R9" s="39">
        <f t="shared" si="8"/>
        <v>0.12727272727272729</v>
      </c>
      <c r="S9" s="44">
        <f>COUNTIF(Vertices[Clustering Coefficient], "&gt;= " &amp; R9) - COUNTIF(Vertices[Clustering Coefficient], "&gt;=" &amp; R10)</f>
        <v>1</v>
      </c>
      <c r="T9" s="39" t="e">
        <f t="shared" ca="1" si="9"/>
        <v>#REF!</v>
      </c>
      <c r="U9" s="40" t="e">
        <f t="shared" ca="1" si="0"/>
        <v>#REF!</v>
      </c>
    </row>
    <row r="10" spans="1:24" x14ac:dyDescent="0.25">
      <c r="A10" s="34" t="s">
        <v>152</v>
      </c>
      <c r="B10" s="34">
        <v>0</v>
      </c>
      <c r="D10" s="32">
        <f t="shared" si="1"/>
        <v>1.872727272727273</v>
      </c>
      <c r="E10" s="3">
        <f>COUNTIF(Vertices[Degree], "&gt;= " &amp; D10) - COUNTIF(Vertices[Degree], "&gt;=" &amp; D11)</f>
        <v>0</v>
      </c>
      <c r="F10" s="37">
        <f t="shared" si="2"/>
        <v>0</v>
      </c>
      <c r="G10" s="38">
        <f>COUNTIF(Vertices[In-Degree], "&gt;= " &amp; F10) - COUNTIF(Vertices[In-Degree], "&gt;=" &amp; F11)</f>
        <v>0</v>
      </c>
      <c r="H10" s="37">
        <f t="shared" si="3"/>
        <v>0</v>
      </c>
      <c r="I10" s="38">
        <f>COUNTIF(Vertices[Out-Degree], "&gt;= " &amp; H10) - COUNTIF(Vertices[Out-Degree], "&gt;=" &amp; H11)</f>
        <v>0</v>
      </c>
      <c r="J10" s="37">
        <f t="shared" si="4"/>
        <v>3.4909090909090912</v>
      </c>
      <c r="K10" s="38">
        <f>COUNTIF(Vertices[Betweenness Centrality], "&gt;= " &amp; J10) - COUNTIF(Vertices[Betweenness Centrality], "&gt;=" &amp; J11)</f>
        <v>0</v>
      </c>
      <c r="L10" s="37">
        <f t="shared" si="5"/>
        <v>0.1861471454545455</v>
      </c>
      <c r="M10" s="38">
        <f>COUNTIF(Vertices[Closeness Centrality], "&gt;= " &amp; L10) - COUNTIF(Vertices[Closeness Centrality], "&gt;=" &amp; L11)</f>
        <v>0</v>
      </c>
      <c r="N10" s="37">
        <f t="shared" si="6"/>
        <v>3.2483781818181817E-2</v>
      </c>
      <c r="O10" s="38">
        <f>COUNTIF(Vertices[Eigenvector Centrality], "&gt;= " &amp; N10) - COUNTIF(Vertices[Eigenvector Centrality], "&gt;=" &amp; N11)</f>
        <v>0</v>
      </c>
      <c r="P10" s="37">
        <f t="shared" si="7"/>
        <v>0.80686292727272713</v>
      </c>
      <c r="Q10" s="38">
        <f>COUNTIF(Vertices[PageRank], "&gt;= " &amp; P10) - COUNTIF(Vertices[PageRank], "&gt;=" &amp; P11)</f>
        <v>0</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5"/>
      <c r="B11" s="85"/>
      <c r="D11" s="32">
        <f t="shared" si="1"/>
        <v>1.9818181818181821</v>
      </c>
      <c r="E11" s="3">
        <f>COUNTIF(Vertices[Degree], "&gt;= " &amp; D11) - COUNTIF(Vertices[Degree], "&gt;=" &amp; D12)</f>
        <v>3</v>
      </c>
      <c r="F11" s="39">
        <f t="shared" si="2"/>
        <v>0</v>
      </c>
      <c r="G11" s="40">
        <f>COUNTIF(Vertices[In-Degree], "&gt;= " &amp; F11) - COUNTIF(Vertices[In-Degree], "&gt;=" &amp; F12)</f>
        <v>0</v>
      </c>
      <c r="H11" s="39">
        <f t="shared" si="3"/>
        <v>0</v>
      </c>
      <c r="I11" s="40">
        <f>COUNTIF(Vertices[Out-Degree], "&gt;= " &amp; H11) - COUNTIF(Vertices[Out-Degree], "&gt;=" &amp; H12)</f>
        <v>0</v>
      </c>
      <c r="J11" s="39">
        <f t="shared" si="4"/>
        <v>3.9272727272727277</v>
      </c>
      <c r="K11" s="40">
        <f>COUNTIF(Vertices[Betweenness Centrality], "&gt;= " &amp; J11) - COUNTIF(Vertices[Betweenness Centrality], "&gt;=" &amp; J12)</f>
        <v>0</v>
      </c>
      <c r="L11" s="39">
        <f t="shared" si="5"/>
        <v>0.20346316363636369</v>
      </c>
      <c r="M11" s="40">
        <f>COUNTIF(Vertices[Closeness Centrality], "&gt;= " &amp; L11) - COUNTIF(Vertices[Closeness Centrality], "&gt;=" &amp; L12)</f>
        <v>0</v>
      </c>
      <c r="N11" s="39">
        <f t="shared" si="6"/>
        <v>3.6544254545454541E-2</v>
      </c>
      <c r="O11" s="40">
        <f>COUNTIF(Vertices[Eigenvector Centrality], "&gt;= " &amp; N11) - COUNTIF(Vertices[Eigenvector Centrality], "&gt;=" &amp; N12)</f>
        <v>0</v>
      </c>
      <c r="P11" s="39">
        <f t="shared" si="7"/>
        <v>0.84763641818181801</v>
      </c>
      <c r="Q11" s="40">
        <f>COUNTIF(Vertices[PageRank], "&gt;= " &amp; P11) - COUNTIF(Vertices[PageRank], "&gt;=" &amp; P12)</f>
        <v>0</v>
      </c>
      <c r="R11" s="39">
        <f t="shared" si="8"/>
        <v>0.16363636363636366</v>
      </c>
      <c r="S11" s="44">
        <f>COUNTIF(Vertices[Clustering Coefficient], "&gt;= " &amp; R11) - COUNTIF(Vertices[Clustering Coefficient], "&gt;=" &amp; R12)</f>
        <v>0</v>
      </c>
      <c r="T11" s="39" t="e">
        <f t="shared" ca="1" si="9"/>
        <v>#REF!</v>
      </c>
      <c r="U11" s="40" t="e">
        <f t="shared" ca="1" si="0"/>
        <v>#REF!</v>
      </c>
    </row>
    <row r="12" spans="1:24" x14ac:dyDescent="0.25">
      <c r="A12" s="34" t="s">
        <v>171</v>
      </c>
      <c r="B12" s="34" t="s">
        <v>182</v>
      </c>
      <c r="D12" s="32">
        <f t="shared" si="1"/>
        <v>2.0909090909090913</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4.3636363636363642</v>
      </c>
      <c r="K12" s="38">
        <f>COUNTIF(Vertices[Betweenness Centrality], "&gt;= " &amp; J12) - COUNTIF(Vertices[Betweenness Centrality], "&gt;=" &amp; J13)</f>
        <v>0</v>
      </c>
      <c r="L12" s="37">
        <f t="shared" si="5"/>
        <v>0.22077918181818187</v>
      </c>
      <c r="M12" s="38">
        <f>COUNTIF(Vertices[Closeness Centrality], "&gt;= " &amp; L12) - COUNTIF(Vertices[Closeness Centrality], "&gt;=" &amp; L13)</f>
        <v>0</v>
      </c>
      <c r="N12" s="37">
        <f t="shared" si="6"/>
        <v>4.0604727272727265E-2</v>
      </c>
      <c r="O12" s="38">
        <f>COUNTIF(Vertices[Eigenvector Centrality], "&gt;= " &amp; N12) - COUNTIF(Vertices[Eigenvector Centrality], "&gt;=" &amp; N13)</f>
        <v>0</v>
      </c>
      <c r="P12" s="37">
        <f t="shared" si="7"/>
        <v>0.88840990909090889</v>
      </c>
      <c r="Q12" s="38">
        <f>COUNTIF(Vertices[PageRank], "&gt;= " &amp; P12) - COUNTIF(Vertices[PageRank], "&gt;=" &amp; P13)</f>
        <v>0</v>
      </c>
      <c r="R12" s="37">
        <f t="shared" si="8"/>
        <v>0.18181818181818185</v>
      </c>
      <c r="S12" s="43">
        <f>COUNTIF(Vertices[Clustering Coefficient], "&gt;= " &amp; R12) - COUNTIF(Vertices[Clustering Coefficient], "&gt;=" &amp; R13)</f>
        <v>0</v>
      </c>
      <c r="T12" s="37" t="e">
        <f t="shared" ca="1" si="9"/>
        <v>#REF!</v>
      </c>
      <c r="U12" s="38" t="e">
        <f t="shared" ca="1" si="0"/>
        <v>#REF!</v>
      </c>
    </row>
    <row r="13" spans="1:24" x14ac:dyDescent="0.25">
      <c r="A13" s="34" t="s">
        <v>172</v>
      </c>
      <c r="B13" s="34" t="s">
        <v>182</v>
      </c>
      <c r="D13" s="32">
        <f t="shared" si="1"/>
        <v>2.2000000000000002</v>
      </c>
      <c r="E13" s="3">
        <f>COUNTIF(Vertices[Degree], "&gt;= " &amp; D13) - COUNTIF(Vertices[Degree], "&gt;=" &amp; D14)</f>
        <v>0</v>
      </c>
      <c r="F13" s="39">
        <f t="shared" si="2"/>
        <v>0</v>
      </c>
      <c r="G13" s="40">
        <f>COUNTIF(Vertices[In-Degree], "&gt;= " &amp; F13) - COUNTIF(Vertices[In-Degree], "&gt;=" &amp; F14)</f>
        <v>0</v>
      </c>
      <c r="H13" s="39">
        <f t="shared" si="3"/>
        <v>0</v>
      </c>
      <c r="I13" s="40">
        <f>COUNTIF(Vertices[Out-Degree], "&gt;= " &amp; H13) - COUNTIF(Vertices[Out-Degree], "&gt;=" &amp; H14)</f>
        <v>0</v>
      </c>
      <c r="J13" s="39">
        <f t="shared" si="4"/>
        <v>4.8000000000000007</v>
      </c>
      <c r="K13" s="40">
        <f>COUNTIF(Vertices[Betweenness Centrality], "&gt;= " &amp; J13) - COUNTIF(Vertices[Betweenness Centrality], "&gt;=" &amp; J14)</f>
        <v>0</v>
      </c>
      <c r="L13" s="39">
        <f t="shared" si="5"/>
        <v>0.23809520000000006</v>
      </c>
      <c r="M13" s="40">
        <f>COUNTIF(Vertices[Closeness Centrality], "&gt;= " &amp; L13) - COUNTIF(Vertices[Closeness Centrality], "&gt;=" &amp; L14)</f>
        <v>2</v>
      </c>
      <c r="N13" s="39">
        <f t="shared" si="6"/>
        <v>4.4665199999999988E-2</v>
      </c>
      <c r="O13" s="40">
        <f>COUNTIF(Vertices[Eigenvector Centrality], "&gt;= " &amp; N13) - COUNTIF(Vertices[Eigenvector Centrality], "&gt;=" &amp; N14)</f>
        <v>0</v>
      </c>
      <c r="P13" s="39">
        <f t="shared" si="7"/>
        <v>0.92918339999999977</v>
      </c>
      <c r="Q13" s="40">
        <f>COUNTIF(Vertices[PageRank], "&gt;= " &amp; P13) - COUNTIF(Vertices[PageRank], "&gt;=" &amp; P14)</f>
        <v>1</v>
      </c>
      <c r="R13" s="39">
        <f t="shared" si="8"/>
        <v>0.20000000000000004</v>
      </c>
      <c r="S13" s="44">
        <f>COUNTIF(Vertices[Clustering Coefficient], "&gt;= " &amp; R13) - COUNTIF(Vertices[Clustering Coefficient], "&gt;=" &amp; R14)</f>
        <v>0</v>
      </c>
      <c r="T13" s="39" t="e">
        <f t="shared" ca="1" si="9"/>
        <v>#REF!</v>
      </c>
      <c r="U13" s="40" t="e">
        <f t="shared" ca="1" si="0"/>
        <v>#REF!</v>
      </c>
    </row>
    <row r="14" spans="1:24" x14ac:dyDescent="0.25">
      <c r="A14" s="85"/>
      <c r="B14" s="85"/>
      <c r="D14" s="32">
        <f t="shared" si="1"/>
        <v>2.3090909090909091</v>
      </c>
      <c r="E14" s="3">
        <f>COUNTIF(Vertices[Degree], "&gt;= " &amp; D14) - COUNTIF(Vertices[Degree], "&gt;=" &amp; D15)</f>
        <v>0</v>
      </c>
      <c r="F14" s="37">
        <f t="shared" si="2"/>
        <v>0</v>
      </c>
      <c r="G14" s="38">
        <f>COUNTIF(Vertices[In-Degree], "&gt;= " &amp; F14) - COUNTIF(Vertices[In-Degree], "&gt;=" &amp; F15)</f>
        <v>0</v>
      </c>
      <c r="H14" s="37">
        <f t="shared" si="3"/>
        <v>0</v>
      </c>
      <c r="I14" s="38">
        <f>COUNTIF(Vertices[Out-Degree], "&gt;= " &amp; H14) - COUNTIF(Vertices[Out-Degree], "&gt;=" &amp; H15)</f>
        <v>0</v>
      </c>
      <c r="J14" s="37">
        <f t="shared" si="4"/>
        <v>5.2363636363636372</v>
      </c>
      <c r="K14" s="38">
        <f>COUNTIF(Vertices[Betweenness Centrality], "&gt;= " &amp; J14) - COUNTIF(Vertices[Betweenness Centrality], "&gt;=" &amp; J15)</f>
        <v>0</v>
      </c>
      <c r="L14" s="37">
        <f t="shared" si="5"/>
        <v>0.25541121818181822</v>
      </c>
      <c r="M14" s="38">
        <f>COUNTIF(Vertices[Closeness Centrality], "&gt;= " &amp; L14) - COUNTIF(Vertices[Closeness Centrality], "&gt;=" &amp; L15)</f>
        <v>0</v>
      </c>
      <c r="N14" s="37">
        <f t="shared" si="6"/>
        <v>4.8725672727272712E-2</v>
      </c>
      <c r="O14" s="38">
        <f>COUNTIF(Vertices[Eigenvector Centrality], "&gt;= " &amp; N14) - COUNTIF(Vertices[Eigenvector Centrality], "&gt;=" &amp; N15)</f>
        <v>0</v>
      </c>
      <c r="P14" s="37">
        <f t="shared" si="7"/>
        <v>0.96995689090909065</v>
      </c>
      <c r="Q14" s="38">
        <f>COUNTIF(Vertices[PageRank], "&gt;= " &amp; P14) - COUNTIF(Vertices[PageRank], "&gt;=" &amp; P15)</f>
        <v>4</v>
      </c>
      <c r="R14" s="37">
        <f t="shared" si="8"/>
        <v>0.21818181818181823</v>
      </c>
      <c r="S14" s="43">
        <f>COUNTIF(Vertices[Clustering Coefficient], "&gt;= " &amp; R14) - COUNTIF(Vertices[Clustering Coefficient], "&gt;=" &amp; R15)</f>
        <v>0</v>
      </c>
      <c r="T14" s="37" t="e">
        <f t="shared" ca="1" si="9"/>
        <v>#REF!</v>
      </c>
      <c r="U14" s="38" t="e">
        <f t="shared" ca="1" si="0"/>
        <v>#REF!</v>
      </c>
    </row>
    <row r="15" spans="1:24" x14ac:dyDescent="0.25">
      <c r="A15" s="34" t="s">
        <v>153</v>
      </c>
      <c r="B15" s="34">
        <v>4</v>
      </c>
      <c r="D15" s="32">
        <f t="shared" si="1"/>
        <v>2.418181818181818</v>
      </c>
      <c r="E15" s="3">
        <f>COUNTIF(Vertices[Degree], "&gt;= " &amp; D15) - COUNTIF(Vertices[Degree], "&gt;=" &amp; D16)</f>
        <v>0</v>
      </c>
      <c r="F15" s="39">
        <f t="shared" si="2"/>
        <v>0</v>
      </c>
      <c r="G15" s="40">
        <f>COUNTIF(Vertices[In-Degree], "&gt;= " &amp; F15) - COUNTIF(Vertices[In-Degree], "&gt;=" &amp; F16)</f>
        <v>0</v>
      </c>
      <c r="H15" s="39">
        <f t="shared" si="3"/>
        <v>0</v>
      </c>
      <c r="I15" s="40">
        <f>COUNTIF(Vertices[Out-Degree], "&gt;= " &amp; H15) - COUNTIF(Vertices[Out-Degree], "&gt;=" &amp; H16)</f>
        <v>0</v>
      </c>
      <c r="J15" s="39">
        <f t="shared" si="4"/>
        <v>5.6727272727272737</v>
      </c>
      <c r="K15" s="40">
        <f>COUNTIF(Vertices[Betweenness Centrality], "&gt;= " &amp; J15) - COUNTIF(Vertices[Betweenness Centrality], "&gt;=" &amp; J16)</f>
        <v>0</v>
      </c>
      <c r="L15" s="39">
        <f t="shared" si="5"/>
        <v>0.27272723636363638</v>
      </c>
      <c r="M15" s="40">
        <f>COUNTIF(Vertices[Closeness Centrality], "&gt;= " &amp; L15) - COUNTIF(Vertices[Closeness Centrality], "&gt;=" &amp; L16)</f>
        <v>0</v>
      </c>
      <c r="N15" s="39">
        <f t="shared" si="6"/>
        <v>5.2786145454545436E-2</v>
      </c>
      <c r="O15" s="40">
        <f>COUNTIF(Vertices[Eigenvector Centrality], "&gt;= " &amp; N15) - COUNTIF(Vertices[Eigenvector Centrality], "&gt;=" &amp; N16)</f>
        <v>0</v>
      </c>
      <c r="P15" s="39">
        <f t="shared" si="7"/>
        <v>1.0107303818181816</v>
      </c>
      <c r="Q15" s="40">
        <f>COUNTIF(Vertices[PageRank], "&gt;= " &amp; P15) - COUNTIF(Vertices[PageRank], "&gt;=" &amp; P16)</f>
        <v>0</v>
      </c>
      <c r="R15" s="39">
        <f t="shared" si="8"/>
        <v>0.23636363636363641</v>
      </c>
      <c r="S15" s="44">
        <f>COUNTIF(Vertices[Clustering Coefficient], "&gt;= " &amp; R15) - COUNTIF(Vertices[Clustering Coefficient], "&gt;=" &amp; R16)</f>
        <v>0</v>
      </c>
      <c r="T15" s="39" t="e">
        <f t="shared" ca="1" si="9"/>
        <v>#REF!</v>
      </c>
      <c r="U15" s="40" t="e">
        <f t="shared" ca="1" si="0"/>
        <v>#REF!</v>
      </c>
    </row>
    <row r="16" spans="1:24" x14ac:dyDescent="0.25">
      <c r="A16" s="34" t="s">
        <v>154</v>
      </c>
      <c r="B16" s="34">
        <v>0</v>
      </c>
      <c r="D16" s="32">
        <f t="shared" si="1"/>
        <v>2.5272727272727269</v>
      </c>
      <c r="E16" s="3">
        <f>COUNTIF(Vertices[Degree], "&gt;= " &amp; D16) - COUNTIF(Vertices[Degree], "&gt;=" &amp; D17)</f>
        <v>0</v>
      </c>
      <c r="F16" s="37">
        <f t="shared" si="2"/>
        <v>0</v>
      </c>
      <c r="G16" s="38">
        <f>COUNTIF(Vertices[In-Degree], "&gt;= " &amp; F16) - COUNTIF(Vertices[In-Degree], "&gt;=" &amp; F17)</f>
        <v>0</v>
      </c>
      <c r="H16" s="37">
        <f t="shared" si="3"/>
        <v>0</v>
      </c>
      <c r="I16" s="38">
        <f>COUNTIF(Vertices[Out-Degree], "&gt;= " &amp; H16) - COUNTIF(Vertices[Out-Degree], "&gt;=" &amp; H17)</f>
        <v>0</v>
      </c>
      <c r="J16" s="37">
        <f t="shared" si="4"/>
        <v>6.1090909090909102</v>
      </c>
      <c r="K16" s="38">
        <f>COUNTIF(Vertices[Betweenness Centrality], "&gt;= " &amp; J16) - COUNTIF(Vertices[Betweenness Centrality], "&gt;=" &amp; J17)</f>
        <v>0</v>
      </c>
      <c r="L16" s="37">
        <f t="shared" si="5"/>
        <v>0.29004325454545454</v>
      </c>
      <c r="M16" s="38">
        <f>COUNTIF(Vertices[Closeness Centrality], "&gt;= " &amp; L16) - COUNTIF(Vertices[Closeness Centrality], "&gt;=" &amp; L17)</f>
        <v>0</v>
      </c>
      <c r="N16" s="37">
        <f t="shared" si="6"/>
        <v>5.6846618181818159E-2</v>
      </c>
      <c r="O16" s="38">
        <f>COUNTIF(Vertices[Eigenvector Centrality], "&gt;= " &amp; N16) - COUNTIF(Vertices[Eigenvector Centrality], "&gt;=" &amp; N17)</f>
        <v>0</v>
      </c>
      <c r="P16" s="37">
        <f t="shared" si="7"/>
        <v>1.0515038727272725</v>
      </c>
      <c r="Q16" s="38">
        <f>COUNTIF(Vertices[PageRank], "&gt;= " &amp; P16) - COUNTIF(Vertices[PageRank], "&gt;=" &amp; P17)</f>
        <v>0</v>
      </c>
      <c r="R16" s="37">
        <f t="shared" si="8"/>
        <v>0.25454545454545457</v>
      </c>
      <c r="S16" s="43">
        <f>COUNTIF(Vertices[Clustering Coefficient], "&gt;= " &amp; R16) - COUNTIF(Vertices[Clustering Coefficient], "&gt;=" &amp; R17)</f>
        <v>0</v>
      </c>
      <c r="T16" s="37" t="e">
        <f t="shared" ca="1" si="9"/>
        <v>#REF!</v>
      </c>
      <c r="U16" s="38" t="e">
        <f t="shared" ca="1" si="0"/>
        <v>#REF!</v>
      </c>
    </row>
    <row r="17" spans="1:21" x14ac:dyDescent="0.25">
      <c r="A17" s="34" t="s">
        <v>155</v>
      </c>
      <c r="B17" s="34">
        <v>9</v>
      </c>
      <c r="D17" s="32">
        <f t="shared" si="1"/>
        <v>2.6363636363636358</v>
      </c>
      <c r="E17" s="3">
        <f>COUNTIF(Vertices[Degree], "&gt;= " &amp; D17) - COUNTIF(Vertices[Degree], "&gt;=" &amp; D18)</f>
        <v>0</v>
      </c>
      <c r="F17" s="39">
        <f t="shared" si="2"/>
        <v>0</v>
      </c>
      <c r="G17" s="40">
        <f>COUNTIF(Vertices[In-Degree], "&gt;= " &amp; F17) - COUNTIF(Vertices[In-Degree], "&gt;=" &amp; F18)</f>
        <v>0</v>
      </c>
      <c r="H17" s="39">
        <f t="shared" si="3"/>
        <v>0</v>
      </c>
      <c r="I17" s="40">
        <f>COUNTIF(Vertices[Out-Degree], "&gt;= " &amp; H17) - COUNTIF(Vertices[Out-Degree], "&gt;=" &amp; H18)</f>
        <v>0</v>
      </c>
      <c r="J17" s="39">
        <f t="shared" si="4"/>
        <v>6.5454545454545467</v>
      </c>
      <c r="K17" s="40">
        <f>COUNTIF(Vertices[Betweenness Centrality], "&gt;= " &amp; J17) - COUNTIF(Vertices[Betweenness Centrality], "&gt;=" &amp; J18)</f>
        <v>0</v>
      </c>
      <c r="L17" s="39">
        <f t="shared" si="5"/>
        <v>0.3073592727272727</v>
      </c>
      <c r="M17" s="40">
        <f>COUNTIF(Vertices[Closeness Centrality], "&gt;= " &amp; L17) - COUNTIF(Vertices[Closeness Centrality], "&gt;=" &amp; L18)</f>
        <v>0</v>
      </c>
      <c r="N17" s="39">
        <f t="shared" si="6"/>
        <v>6.0907090909090883E-2</v>
      </c>
      <c r="O17" s="40">
        <f>COUNTIF(Vertices[Eigenvector Centrality], "&gt;= " &amp; N17) - COUNTIF(Vertices[Eigenvector Centrality], "&gt;=" &amp; N18)</f>
        <v>0</v>
      </c>
      <c r="P17" s="39">
        <f t="shared" si="7"/>
        <v>1.0922773636363634</v>
      </c>
      <c r="Q17" s="40">
        <f>COUNTIF(Vertices[PageRank], "&gt;= " &amp; P17) - COUNTIF(Vertices[PageRank], "&gt;=" &amp; P18)</f>
        <v>3</v>
      </c>
      <c r="R17" s="39">
        <f t="shared" si="8"/>
        <v>0.27272727272727276</v>
      </c>
      <c r="S17" s="44">
        <f>COUNTIF(Vertices[Clustering Coefficient], "&gt;= " &amp; R17) - COUNTIF(Vertices[Clustering Coefficient], "&gt;=" &amp; R18)</f>
        <v>0</v>
      </c>
      <c r="T17" s="39" t="e">
        <f t="shared" ca="1" si="9"/>
        <v>#REF!</v>
      </c>
      <c r="U17" s="40" t="e">
        <f t="shared" ca="1" si="0"/>
        <v>#REF!</v>
      </c>
    </row>
    <row r="18" spans="1:21" x14ac:dyDescent="0.25">
      <c r="A18" s="34" t="s">
        <v>156</v>
      </c>
      <c r="B18" s="34">
        <v>11</v>
      </c>
      <c r="D18" s="32">
        <f t="shared" si="1"/>
        <v>2.7454545454545447</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6.9818181818181833</v>
      </c>
      <c r="K18" s="38">
        <f>COUNTIF(Vertices[Betweenness Centrality], "&gt;= " &amp; J18) - COUNTIF(Vertices[Betweenness Centrality], "&gt;=" &amp; J19)</f>
        <v>1</v>
      </c>
      <c r="L18" s="37">
        <f t="shared" si="5"/>
        <v>0.32467529090909086</v>
      </c>
      <c r="M18" s="38">
        <f>COUNTIF(Vertices[Closeness Centrality], "&gt;= " &amp; L18) - COUNTIF(Vertices[Closeness Centrality], "&gt;=" &amp; L19)</f>
        <v>0</v>
      </c>
      <c r="N18" s="37">
        <f t="shared" si="6"/>
        <v>6.4967563636363607E-2</v>
      </c>
      <c r="O18" s="38">
        <f>COUNTIF(Vertices[Eigenvector Centrality], "&gt;= " &amp; N18) - COUNTIF(Vertices[Eigenvector Centrality], "&gt;=" &amp; N19)</f>
        <v>3</v>
      </c>
      <c r="P18" s="37">
        <f t="shared" si="7"/>
        <v>1.1330508545454543</v>
      </c>
      <c r="Q18" s="38">
        <f>COUNTIF(Vertices[PageRank], "&gt;= " &amp; P18) - COUNTIF(Vertices[PageRank], "&gt;=" &amp; P19)</f>
        <v>0</v>
      </c>
      <c r="R18" s="37">
        <f t="shared" si="8"/>
        <v>0.29090909090909095</v>
      </c>
      <c r="S18" s="43">
        <f>COUNTIF(Vertices[Clustering Coefficient], "&gt;= " &amp; R18) - COUNTIF(Vertices[Clustering Coefficient], "&gt;=" &amp; R19)</f>
        <v>0</v>
      </c>
      <c r="T18" s="37" t="e">
        <f t="shared" ca="1" si="9"/>
        <v>#REF!</v>
      </c>
      <c r="U18" s="38" t="e">
        <f t="shared" ca="1" si="0"/>
        <v>#REF!</v>
      </c>
    </row>
    <row r="19" spans="1:21" x14ac:dyDescent="0.25">
      <c r="A19" s="85"/>
      <c r="B19" s="85"/>
      <c r="D19" s="32">
        <f t="shared" si="1"/>
        <v>2.8545454545454536</v>
      </c>
      <c r="E19" s="3">
        <f>COUNTIF(Vertices[Degree], "&gt;= " &amp; D19) - COUNTIF(Vertices[Degree], "&gt;=" &amp; D20)</f>
        <v>0</v>
      </c>
      <c r="F19" s="39">
        <f t="shared" si="2"/>
        <v>0</v>
      </c>
      <c r="G19" s="40">
        <f>COUNTIF(Vertices[In-Degree], "&gt;= " &amp; F19) - COUNTIF(Vertices[In-Degree], "&gt;=" &amp; F20)</f>
        <v>0</v>
      </c>
      <c r="H19" s="39">
        <f t="shared" si="3"/>
        <v>0</v>
      </c>
      <c r="I19" s="40">
        <f>COUNTIF(Vertices[Out-Degree], "&gt;= " &amp; H19) - COUNTIF(Vertices[Out-Degree], "&gt;=" &amp; H20)</f>
        <v>0</v>
      </c>
      <c r="J19" s="39">
        <f t="shared" si="4"/>
        <v>7.4181818181818198</v>
      </c>
      <c r="K19" s="40">
        <f>COUNTIF(Vertices[Betweenness Centrality], "&gt;= " &amp; J19) - COUNTIF(Vertices[Betweenness Centrality], "&gt;=" &amp; J20)</f>
        <v>0</v>
      </c>
      <c r="L19" s="39">
        <f t="shared" si="5"/>
        <v>0.34199130909090902</v>
      </c>
      <c r="M19" s="40">
        <f>COUNTIF(Vertices[Closeness Centrality], "&gt;= " &amp; L19) - COUNTIF(Vertices[Closeness Centrality], "&gt;=" &amp; L20)</f>
        <v>0</v>
      </c>
      <c r="N19" s="39">
        <f t="shared" si="6"/>
        <v>6.902803636363633E-2</v>
      </c>
      <c r="O19" s="40">
        <f>COUNTIF(Vertices[Eigenvector Centrality], "&gt;= " &amp; N19) - COUNTIF(Vertices[Eigenvector Centrality], "&gt;=" &amp; N20)</f>
        <v>1</v>
      </c>
      <c r="P19" s="39">
        <f t="shared" si="7"/>
        <v>1.1738243454545452</v>
      </c>
      <c r="Q19" s="40">
        <f>COUNTIF(Vertices[PageRank], "&gt;= " &amp; P19) - COUNTIF(Vertices[PageRank], "&gt;=" &amp; P20)</f>
        <v>0</v>
      </c>
      <c r="R19" s="39">
        <f t="shared" si="8"/>
        <v>0.30909090909090914</v>
      </c>
      <c r="S19" s="44">
        <f>COUNTIF(Vertices[Clustering Coefficient], "&gt;= " &amp; R19) - COUNTIF(Vertices[Clustering Coefficient], "&gt;=" &amp; R20)</f>
        <v>0</v>
      </c>
      <c r="T19" s="39" t="e">
        <f t="shared" ca="1" si="9"/>
        <v>#REF!</v>
      </c>
      <c r="U19" s="40" t="e">
        <f t="shared" ca="1" si="0"/>
        <v>#REF!</v>
      </c>
    </row>
    <row r="20" spans="1:21" x14ac:dyDescent="0.25">
      <c r="A20" s="34" t="s">
        <v>157</v>
      </c>
      <c r="B20" s="34">
        <v>3</v>
      </c>
      <c r="D20" s="32">
        <f t="shared" si="1"/>
        <v>2.9636363636363625</v>
      </c>
      <c r="E20" s="3">
        <f>COUNTIF(Vertices[Degree], "&gt;= " &amp; D20) - COUNTIF(Vertices[Degree], "&gt;=" &amp; D21)</f>
        <v>3</v>
      </c>
      <c r="F20" s="37">
        <f t="shared" si="2"/>
        <v>0</v>
      </c>
      <c r="G20" s="38">
        <f>COUNTIF(Vertices[In-Degree], "&gt;= " &amp; F20) - COUNTIF(Vertices[In-Degree], "&gt;=" &amp; F21)</f>
        <v>0</v>
      </c>
      <c r="H20" s="37">
        <f t="shared" si="3"/>
        <v>0</v>
      </c>
      <c r="I20" s="38">
        <f>COUNTIF(Vertices[Out-Degree], "&gt;= " &amp; H20) - COUNTIF(Vertices[Out-Degree], "&gt;=" &amp; H21)</f>
        <v>0</v>
      </c>
      <c r="J20" s="37">
        <f t="shared" si="4"/>
        <v>7.8545454545454563</v>
      </c>
      <c r="K20" s="38">
        <f>COUNTIF(Vertices[Betweenness Centrality], "&gt;= " &amp; J20) - COUNTIF(Vertices[Betweenness Centrality], "&gt;=" &amp; J21)</f>
        <v>0</v>
      </c>
      <c r="L20" s="37">
        <f t="shared" si="5"/>
        <v>0.35930732727272718</v>
      </c>
      <c r="M20" s="38">
        <f>COUNTIF(Vertices[Closeness Centrality], "&gt;= " &amp; L20) - COUNTIF(Vertices[Closeness Centrality], "&gt;=" &amp; L21)</f>
        <v>0</v>
      </c>
      <c r="N20" s="37">
        <f t="shared" si="6"/>
        <v>7.3088509090909054E-2</v>
      </c>
      <c r="O20" s="38">
        <f>COUNTIF(Vertices[Eigenvector Centrality], "&gt;= " &amp; N20) - COUNTIF(Vertices[Eigenvector Centrality], "&gt;=" &amp; N21)</f>
        <v>0</v>
      </c>
      <c r="P20" s="37">
        <f t="shared" si="7"/>
        <v>1.2145978363636361</v>
      </c>
      <c r="Q20" s="38">
        <f>COUNTIF(Vertices[PageRank], "&gt;= " &amp; P20) - COUNTIF(Vertices[PageRank], "&gt;=" &amp; P21)</f>
        <v>0</v>
      </c>
      <c r="R20" s="37">
        <f t="shared" si="8"/>
        <v>0.32727272727272733</v>
      </c>
      <c r="S20" s="43">
        <f>COUNTIF(Vertices[Clustering Coefficient], "&gt;= " &amp; R20) - COUNTIF(Vertices[Clustering Coefficient], "&gt;=" &amp; R21)</f>
        <v>0</v>
      </c>
      <c r="T20" s="37" t="e">
        <f t="shared" ca="1" si="9"/>
        <v>#REF!</v>
      </c>
      <c r="U20" s="38" t="e">
        <f t="shared" ca="1" si="0"/>
        <v>#REF!</v>
      </c>
    </row>
    <row r="21" spans="1:21" x14ac:dyDescent="0.25">
      <c r="A21" s="34" t="s">
        <v>158</v>
      </c>
      <c r="B21" s="34">
        <v>1.5047619999999999</v>
      </c>
      <c r="D21" s="32">
        <f t="shared" si="1"/>
        <v>3.0727272727272714</v>
      </c>
      <c r="E21" s="3">
        <f>COUNTIF(Vertices[Degree], "&gt;= " &amp; D21) - COUNTIF(Vertices[Degree], "&gt;=" &amp; D22)</f>
        <v>0</v>
      </c>
      <c r="F21" s="39">
        <f t="shared" si="2"/>
        <v>0</v>
      </c>
      <c r="G21" s="40">
        <f>COUNTIF(Vertices[In-Degree], "&gt;= " &amp; F21) - COUNTIF(Vertices[In-Degree], "&gt;=" &amp; F22)</f>
        <v>0</v>
      </c>
      <c r="H21" s="39">
        <f t="shared" si="3"/>
        <v>0</v>
      </c>
      <c r="I21" s="40">
        <f>COUNTIF(Vertices[Out-Degree], "&gt;= " &amp; H21) - COUNTIF(Vertices[Out-Degree], "&gt;=" &amp; H22)</f>
        <v>0</v>
      </c>
      <c r="J21" s="39">
        <f t="shared" si="4"/>
        <v>8.2909090909090928</v>
      </c>
      <c r="K21" s="40">
        <f>COUNTIF(Vertices[Betweenness Centrality], "&gt;= " &amp; J21) - COUNTIF(Vertices[Betweenness Centrality], "&gt;=" &amp; J22)</f>
        <v>0</v>
      </c>
      <c r="L21" s="39">
        <f t="shared" si="5"/>
        <v>0.37662334545454534</v>
      </c>
      <c r="M21" s="40">
        <f>COUNTIF(Vertices[Closeness Centrality], "&gt;= " &amp; L21) - COUNTIF(Vertices[Closeness Centrality], "&gt;=" &amp; L22)</f>
        <v>0</v>
      </c>
      <c r="N21" s="39">
        <f t="shared" si="6"/>
        <v>7.7148981818181778E-2</v>
      </c>
      <c r="O21" s="40">
        <f>COUNTIF(Vertices[Eigenvector Centrality], "&gt;= " &amp; N21) - COUNTIF(Vertices[Eigenvector Centrality], "&gt;=" &amp; N22)</f>
        <v>0</v>
      </c>
      <c r="P21" s="39">
        <f t="shared" si="7"/>
        <v>1.2553713272727269</v>
      </c>
      <c r="Q21" s="40">
        <f>COUNTIF(Vertices[PageRank], "&gt;= " &amp; P21) - COUNTIF(Vertices[PageRank], "&gt;=" &amp; P22)</f>
        <v>0</v>
      </c>
      <c r="R21" s="39">
        <f t="shared" si="8"/>
        <v>0.34545454545454551</v>
      </c>
      <c r="S21" s="44">
        <f>COUNTIF(Vertices[Clustering Coefficient], "&gt;= " &amp; R21) - COUNTIF(Vertices[Clustering Coefficient], "&gt;=" &amp; R22)</f>
        <v>0</v>
      </c>
      <c r="T21" s="39" t="e">
        <f t="shared" ca="1" si="9"/>
        <v>#REF!</v>
      </c>
      <c r="U21" s="40" t="e">
        <f t="shared" ca="1" si="0"/>
        <v>#REF!</v>
      </c>
    </row>
    <row r="22" spans="1:21" x14ac:dyDescent="0.25">
      <c r="A22" s="85"/>
      <c r="B22" s="85"/>
      <c r="D22" s="32">
        <f t="shared" si="1"/>
        <v>3.1818181818181803</v>
      </c>
      <c r="E22" s="3">
        <f>COUNTIF(Vertices[Degree], "&gt;= " &amp; D22) - COUNTIF(Vertices[Degree], "&gt;=" &amp; D23)</f>
        <v>0</v>
      </c>
      <c r="F22" s="37">
        <f t="shared" si="2"/>
        <v>0</v>
      </c>
      <c r="G22" s="38">
        <f>COUNTIF(Vertices[In-Degree], "&gt;= " &amp; F22) - COUNTIF(Vertices[In-Degree], "&gt;=" &amp; F23)</f>
        <v>0</v>
      </c>
      <c r="H22" s="37">
        <f t="shared" si="3"/>
        <v>0</v>
      </c>
      <c r="I22" s="38">
        <f>COUNTIF(Vertices[Out-Degree], "&gt;= " &amp; H22) - COUNTIF(Vertices[Out-Degree], "&gt;=" &amp; H23)</f>
        <v>0</v>
      </c>
      <c r="J22" s="37">
        <f t="shared" si="4"/>
        <v>8.7272727272727284</v>
      </c>
      <c r="K22" s="38">
        <f>COUNTIF(Vertices[Betweenness Centrality], "&gt;= " &amp; J22) - COUNTIF(Vertices[Betweenness Centrality], "&gt;=" &amp; J23)</f>
        <v>0</v>
      </c>
      <c r="L22" s="37">
        <f t="shared" si="5"/>
        <v>0.3939393636363635</v>
      </c>
      <c r="M22" s="38">
        <f>COUNTIF(Vertices[Closeness Centrality], "&gt;= " &amp; L22) - COUNTIF(Vertices[Closeness Centrality], "&gt;=" &amp; L23)</f>
        <v>0</v>
      </c>
      <c r="N22" s="37">
        <f t="shared" si="6"/>
        <v>8.1209454545454501E-2</v>
      </c>
      <c r="O22" s="38">
        <f>COUNTIF(Vertices[Eigenvector Centrality], "&gt;= " &amp; N22) - COUNTIF(Vertices[Eigenvector Centrality], "&gt;=" &amp; N23)</f>
        <v>0</v>
      </c>
      <c r="P22" s="37">
        <f t="shared" si="7"/>
        <v>1.2961448181818178</v>
      </c>
      <c r="Q22" s="38">
        <f>COUNTIF(Vertices[PageRank], "&gt;= " &amp; P22) - COUNTIF(Vertices[PageRank], "&gt;=" &amp; P23)</f>
        <v>2</v>
      </c>
      <c r="R22" s="37">
        <f t="shared" si="8"/>
        <v>0.3636363636363637</v>
      </c>
      <c r="S22" s="43">
        <f>COUNTIF(Vertices[Clustering Coefficient], "&gt;= " &amp; R22) - COUNTIF(Vertices[Clustering Coefficient], "&gt;=" &amp; R23)</f>
        <v>0</v>
      </c>
      <c r="T22" s="37" t="e">
        <f t="shared" ca="1" si="9"/>
        <v>#REF!</v>
      </c>
      <c r="U22" s="38" t="e">
        <f t="shared" ca="1" si="0"/>
        <v>#REF!</v>
      </c>
    </row>
    <row r="23" spans="1:21" x14ac:dyDescent="0.25">
      <c r="A23" s="34" t="s">
        <v>159</v>
      </c>
      <c r="B23" s="34">
        <v>0.11764705882352941</v>
      </c>
      <c r="D23" s="32">
        <f t="shared" si="1"/>
        <v>3.2909090909090892</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9.163636363636364</v>
      </c>
      <c r="K23" s="40">
        <f>COUNTIF(Vertices[Betweenness Centrality], "&gt;= " &amp; J23) - COUNTIF(Vertices[Betweenness Centrality], "&gt;=" &amp; J24)</f>
        <v>0</v>
      </c>
      <c r="L23" s="39">
        <f t="shared" si="5"/>
        <v>0.41125538181818166</v>
      </c>
      <c r="M23" s="40">
        <f>COUNTIF(Vertices[Closeness Centrality], "&gt;= " &amp; L23) - COUNTIF(Vertices[Closeness Centrality], "&gt;=" &amp; L24)</f>
        <v>0</v>
      </c>
      <c r="N23" s="39">
        <f t="shared" si="6"/>
        <v>8.5269927272727225E-2</v>
      </c>
      <c r="O23" s="40">
        <f>COUNTIF(Vertices[Eigenvector Centrality], "&gt;= " &amp; N23) - COUNTIF(Vertices[Eigenvector Centrality], "&gt;=" &amp; N24)</f>
        <v>0</v>
      </c>
      <c r="P23" s="39">
        <f t="shared" si="7"/>
        <v>1.3369183090909087</v>
      </c>
      <c r="Q23" s="40">
        <f>COUNTIF(Vertices[PageRank], "&gt;= " &amp; P23) - COUNTIF(Vertices[PageRank], "&gt;=" &amp; P24)</f>
        <v>0</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180</v>
      </c>
      <c r="B24" s="34">
        <v>0.484375</v>
      </c>
      <c r="D24" s="32">
        <f t="shared" si="1"/>
        <v>3.3999999999999981</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9.6</v>
      </c>
      <c r="K24" s="38">
        <f>COUNTIF(Vertices[Betweenness Centrality], "&gt;= " &amp; J24) - COUNTIF(Vertices[Betweenness Centrality], "&gt;=" &amp; J25)</f>
        <v>0</v>
      </c>
      <c r="L24" s="37">
        <f t="shared" si="5"/>
        <v>0.42857139999999982</v>
      </c>
      <c r="M24" s="38">
        <f>COUNTIF(Vertices[Closeness Centrality], "&gt;= " &amp; L24) - COUNTIF(Vertices[Closeness Centrality], "&gt;=" &amp; L25)</f>
        <v>0</v>
      </c>
      <c r="N24" s="37">
        <f t="shared" si="6"/>
        <v>8.9330399999999949E-2</v>
      </c>
      <c r="O24" s="38">
        <f>COUNTIF(Vertices[Eigenvector Centrality], "&gt;= " &amp; N24) - COUNTIF(Vertices[Eigenvector Centrality], "&gt;=" &amp; N25)</f>
        <v>0</v>
      </c>
      <c r="P24" s="37">
        <f t="shared" si="7"/>
        <v>1.3776917999999996</v>
      </c>
      <c r="Q24" s="38">
        <f>COUNTIF(Vertices[PageRank], "&gt;= " &amp; P24) - COUNTIF(Vertices[PageRank], "&gt;=" &amp; P25)</f>
        <v>0</v>
      </c>
      <c r="R24" s="37">
        <f t="shared" si="8"/>
        <v>0.40000000000000008</v>
      </c>
      <c r="S24" s="43">
        <f>COUNTIF(Vertices[Clustering Coefficient], "&gt;= " &amp; R24) - COUNTIF(Vertices[Clustering Coefficient], "&gt;=" &amp; R25)</f>
        <v>0</v>
      </c>
      <c r="T24" s="37" t="e">
        <f t="shared" ca="1" si="9"/>
        <v>#REF!</v>
      </c>
      <c r="U24" s="38" t="e">
        <f t="shared" ca="1" si="0"/>
        <v>#REF!</v>
      </c>
    </row>
    <row r="25" spans="1:21" x14ac:dyDescent="0.25">
      <c r="A25" s="85"/>
      <c r="B25" s="85"/>
      <c r="D25" s="32">
        <f t="shared" si="1"/>
        <v>3.509090909090907</v>
      </c>
      <c r="E25" s="3">
        <f>COUNTIF(Vertices[Degree], "&gt;= " &amp; D25) - COUNTIF(Vertices[Degree], "&gt;=" &amp; D26)</f>
        <v>0</v>
      </c>
      <c r="F25" s="39">
        <f t="shared" si="2"/>
        <v>0</v>
      </c>
      <c r="G25" s="40">
        <f>COUNTIF(Vertices[In-Degree], "&gt;= " &amp; F25) - COUNTIF(Vertices[In-Degree], "&gt;=" &amp; F26)</f>
        <v>0</v>
      </c>
      <c r="H25" s="39">
        <f t="shared" si="3"/>
        <v>0</v>
      </c>
      <c r="I25" s="40">
        <f>COUNTIF(Vertices[Out-Degree], "&gt;= " &amp; H25) - COUNTIF(Vertices[Out-Degree], "&gt;=" &amp; H26)</f>
        <v>0</v>
      </c>
      <c r="J25" s="39">
        <f t="shared" si="4"/>
        <v>10.036363636363635</v>
      </c>
      <c r="K25" s="40">
        <f>COUNTIF(Vertices[Betweenness Centrality], "&gt;= " &amp; J25) - COUNTIF(Vertices[Betweenness Centrality], "&gt;=" &amp; J26)</f>
        <v>0</v>
      </c>
      <c r="L25" s="39">
        <f t="shared" si="5"/>
        <v>0.44588741818181798</v>
      </c>
      <c r="M25" s="40">
        <f>COUNTIF(Vertices[Closeness Centrality], "&gt;= " &amp; L25) - COUNTIF(Vertices[Closeness Centrality], "&gt;=" &amp; L26)</f>
        <v>0</v>
      </c>
      <c r="N25" s="39">
        <f t="shared" si="6"/>
        <v>9.3390872727272672E-2</v>
      </c>
      <c r="O25" s="40">
        <f>COUNTIF(Vertices[Eigenvector Centrality], "&gt;= " &amp; N25) - COUNTIF(Vertices[Eigenvector Centrality], "&gt;=" &amp; N26)</f>
        <v>0</v>
      </c>
      <c r="P25" s="39">
        <f t="shared" si="7"/>
        <v>1.4184652909090905</v>
      </c>
      <c r="Q25" s="40">
        <f>COUNTIF(Vertices[PageRank], "&gt;= " &amp; P25) - COUNTIF(Vertices[PageRank], "&gt;=" &amp; P26)</f>
        <v>0</v>
      </c>
      <c r="R25" s="39">
        <f t="shared" si="8"/>
        <v>0.41818181818181827</v>
      </c>
      <c r="S25" s="44">
        <f>COUNTIF(Vertices[Clustering Coefficient], "&gt;= " &amp; R25) - COUNTIF(Vertices[Clustering Coefficient], "&gt;=" &amp; R26)</f>
        <v>0</v>
      </c>
      <c r="T25" s="39" t="e">
        <f t="shared" ca="1" si="9"/>
        <v>#REF!</v>
      </c>
      <c r="U25" s="40" t="e">
        <f t="shared" ca="1" si="0"/>
        <v>#REF!</v>
      </c>
    </row>
    <row r="26" spans="1:21" x14ac:dyDescent="0.25">
      <c r="A26" s="34" t="s">
        <v>181</v>
      </c>
      <c r="B26" s="34" t="s">
        <v>183</v>
      </c>
      <c r="D26" s="32">
        <f t="shared" si="1"/>
        <v>3.6181818181818159</v>
      </c>
      <c r="E26" s="3">
        <f>COUNTIF(Vertices[Degree], "&gt;= " &amp; D26) - COUNTIF(Vertices[Degree], "&gt;=" &amp; D28)</f>
        <v>0</v>
      </c>
      <c r="F26" s="37">
        <f t="shared" si="2"/>
        <v>0</v>
      </c>
      <c r="G26" s="38">
        <f>COUNTIF(Vertices[In-Degree], "&gt;= " &amp; F26) - COUNTIF(Vertices[In-Degree], "&gt;=" &amp; F28)</f>
        <v>0</v>
      </c>
      <c r="H26" s="37">
        <f t="shared" si="3"/>
        <v>0</v>
      </c>
      <c r="I26" s="38">
        <f>COUNTIF(Vertices[Out-Degree], "&gt;= " &amp; H26) - COUNTIF(Vertices[Out-Degree], "&gt;=" &amp; H28)</f>
        <v>0</v>
      </c>
      <c r="J26" s="37">
        <f t="shared" si="4"/>
        <v>10.472727272727271</v>
      </c>
      <c r="K26" s="38">
        <f>COUNTIF(Vertices[Betweenness Centrality], "&gt;= " &amp; J26) - COUNTIF(Vertices[Betweenness Centrality], "&gt;=" &amp; J28)</f>
        <v>0</v>
      </c>
      <c r="L26" s="37">
        <f t="shared" si="5"/>
        <v>0.46320343636363615</v>
      </c>
      <c r="M26" s="38">
        <f>COUNTIF(Vertices[Closeness Centrality], "&gt;= " &amp; L26) - COUNTIF(Vertices[Closeness Centrality], "&gt;=" &amp; L28)</f>
        <v>0</v>
      </c>
      <c r="N26" s="37">
        <f t="shared" si="6"/>
        <v>9.7451345454545396E-2</v>
      </c>
      <c r="O26" s="38">
        <f>COUNTIF(Vertices[Eigenvector Centrality], "&gt;= " &amp; N26) - COUNTIF(Vertices[Eigenvector Centrality], "&gt;=" &amp; N28)</f>
        <v>0</v>
      </c>
      <c r="P26" s="37">
        <f t="shared" si="7"/>
        <v>1.4592387818181813</v>
      </c>
      <c r="Q26" s="38">
        <f>COUNTIF(Vertices[PageRank], "&gt;= " &amp; P26) - COUNTIF(Vertices[PageRank], "&gt;=" &amp; P28)</f>
        <v>0</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-1</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-1</v>
      </c>
      <c r="L27" s="73"/>
      <c r="M27" s="74">
        <f>COUNTIF(Vertices[Closeness Centrality], "&gt;= " &amp; L27) - COUNTIF(Vertices[Closeness Centrality], "&gt;=" &amp; L28)</f>
        <v>-4</v>
      </c>
      <c r="N27" s="73"/>
      <c r="O27" s="74">
        <f>COUNTIF(Vertices[Eigenvector Centrality], "&gt;= " &amp; N27) - COUNTIF(Vertices[Eigenvector Centrality], "&gt;=" &amp; N28)</f>
        <v>-4</v>
      </c>
      <c r="P27" s="73"/>
      <c r="Q27" s="74">
        <f>COUNTIF(Vertices[Eigenvector Centrality], "&gt;= " &amp; P27) - COUNTIF(Vertices[Eigenvector Centrality], "&gt;=" &amp; P28)</f>
        <v>0</v>
      </c>
      <c r="R27" s="73"/>
      <c r="S27" s="75">
        <f>COUNTIF(Vertices[Clustering Coefficient], "&gt;= " &amp; R27) - COUNTIF(Vertices[Clustering Coefficient], "&gt;=" &amp; R28)</f>
        <v>-3</v>
      </c>
      <c r="T27" s="73"/>
      <c r="U27" s="74">
        <f ca="1">COUNTIF(Vertices[Clustering Coefficient], "&gt;= " &amp; T27) - COUNTIF(Vertices[Clustering Coefficient], "&gt;=" &amp; T28)</f>
        <v>0</v>
      </c>
    </row>
    <row r="28" spans="1:21" x14ac:dyDescent="0.25">
      <c r="D28" s="32">
        <f>D26+($D$57-$D$2)/BinDivisor</f>
        <v>3.7272727272727249</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10.909090909090907</v>
      </c>
      <c r="K28" s="40">
        <f>COUNTIF(Vertices[Betweenness Centrality], "&gt;= " &amp; J28) - COUNTIF(Vertices[Betweenness Centrality], "&gt;=" &amp; J40)</f>
        <v>0</v>
      </c>
      <c r="L28" s="39">
        <f>L26+($L$57-$L$2)/BinDivisor</f>
        <v>0.48051945454545431</v>
      </c>
      <c r="M28" s="40">
        <f>COUNTIF(Vertices[Closeness Centrality], "&gt;= " &amp; L28) - COUNTIF(Vertices[Closeness Centrality], "&gt;=" &amp; L40)</f>
        <v>0</v>
      </c>
      <c r="N28" s="39">
        <f>N26+($N$57-$N$2)/BinDivisor</f>
        <v>0.10151181818181812</v>
      </c>
      <c r="O28" s="40">
        <f>COUNTIF(Vertices[Eigenvector Centrality], "&gt;= " &amp; N28) - COUNTIF(Vertices[Eigenvector Centrality], "&gt;=" &amp; N40)</f>
        <v>0</v>
      </c>
      <c r="P28" s="39">
        <f>P26+($P$57-$P$2)/BinDivisor</f>
        <v>1.5000122727272722</v>
      </c>
      <c r="Q28" s="40">
        <f>COUNTIF(Vertices[PageRank], "&gt;= " &amp; P28) - COUNTIF(Vertices[PageRank], "&gt;=" &amp; P40)</f>
        <v>0</v>
      </c>
      <c r="R28" s="39">
        <f>R26+($R$57-$R$2)/BinDivisor</f>
        <v>0.45454545454545464</v>
      </c>
      <c r="S28" s="44">
        <f>COUNTIF(Vertices[Clustering Coefficient], "&gt;= " &amp; R28) - COUNTIF(Vertices[Clustering Coefficient], "&gt;=" &amp; R40)</f>
        <v>0</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-1</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-1</v>
      </c>
      <c r="L38" s="73"/>
      <c r="M38" s="74">
        <f>COUNTIF(Vertices[Closeness Centrality], "&gt;= " &amp; L38) - COUNTIF(Vertices[Closeness Centrality], "&gt;=" &amp; L40)</f>
        <v>-4</v>
      </c>
      <c r="N38" s="73"/>
      <c r="O38" s="74">
        <f>COUNTIF(Vertices[Eigenvector Centrality], "&gt;= " &amp; N38) - COUNTIF(Vertices[Eigenvector Centrality], "&gt;=" &amp; N40)</f>
        <v>-4</v>
      </c>
      <c r="P38" s="73"/>
      <c r="Q38" s="74">
        <f>COUNTIF(Vertices[Eigenvector Centrality], "&gt;= " &amp; P38) - COUNTIF(Vertices[Eigenvector Centrality], "&gt;=" &amp; P40)</f>
        <v>0</v>
      </c>
      <c r="R38" s="73"/>
      <c r="S38" s="75">
        <f>COUNTIF(Vertices[Clustering Coefficient], "&gt;= " &amp; R38) - COUNTIF(Vertices[Clustering Coefficient], "&gt;=" &amp; R40)</f>
        <v>-3</v>
      </c>
      <c r="T38" s="73"/>
      <c r="U38" s="74">
        <f ca="1">COUNTIF(Vertices[Clustering Coefficient], "&gt;= " &amp; T38) - COUNTIF(Vertices[Clustering Coefficient], "&gt;=" &amp; T40)</f>
        <v>0</v>
      </c>
    </row>
    <row r="39" spans="1:21" x14ac:dyDescent="0.25">
      <c r="D39" s="32"/>
      <c r="E39" s="3">
        <f>COUNTIF(Vertices[Degree], "&gt;= " &amp; D39) - COUNTIF(Vertices[Degree], "&gt;=" &amp; D40)</f>
        <v>-1</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-1</v>
      </c>
      <c r="L39" s="73"/>
      <c r="M39" s="74">
        <f>COUNTIF(Vertices[Closeness Centrality], "&gt;= " &amp; L39) - COUNTIF(Vertices[Closeness Centrality], "&gt;=" &amp; L40)</f>
        <v>-4</v>
      </c>
      <c r="N39" s="73"/>
      <c r="O39" s="74">
        <f>COUNTIF(Vertices[Eigenvector Centrality], "&gt;= " &amp; N39) - COUNTIF(Vertices[Eigenvector Centrality], "&gt;=" &amp; N40)</f>
        <v>-4</v>
      </c>
      <c r="P39" s="73"/>
      <c r="Q39" s="74">
        <f>COUNTIF(Vertices[Eigenvector Centrality], "&gt;= " &amp; P39) - COUNTIF(Vertices[Eigenvector Centrality], "&gt;=" &amp; P40)</f>
        <v>0</v>
      </c>
      <c r="R39" s="73"/>
      <c r="S39" s="75">
        <f>COUNTIF(Vertices[Clustering Coefficient], "&gt;= " &amp; R39) - COUNTIF(Vertices[Clustering Coefficient], "&gt;=" &amp; R40)</f>
        <v>-3</v>
      </c>
      <c r="T39" s="73"/>
      <c r="U39" s="74">
        <f ca="1">COUNTIF(Vertices[Clustering Coefficient], "&gt;= " &amp; T39) - COUNTIF(Vertices[Clustering Coefficient], "&gt;=" &amp; T40)</f>
        <v>0</v>
      </c>
    </row>
    <row r="40" spans="1:21" x14ac:dyDescent="0.25">
      <c r="D40" s="32">
        <f>D28+($D$57-$D$2)/BinDivisor</f>
        <v>3.8363636363636338</v>
      </c>
      <c r="E40" s="3">
        <f>COUNTIF(Vertices[Degree], "&gt;= " &amp; D40) - COUNTIF(Vertices[Degree], "&gt;=" &amp; D41)</f>
        <v>0</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11.345454545454542</v>
      </c>
      <c r="K40" s="38">
        <f>COUNTIF(Vertices[Betweenness Centrality], "&gt;= " &amp; J40) - COUNTIF(Vertices[Betweenness Centrality], "&gt;=" &amp; J41)</f>
        <v>0</v>
      </c>
      <c r="L40" s="37">
        <f>L28+($L$57-$L$2)/BinDivisor</f>
        <v>0.49783547272727247</v>
      </c>
      <c r="M40" s="38">
        <f>COUNTIF(Vertices[Closeness Centrality], "&gt;= " &amp; L40) - COUNTIF(Vertices[Closeness Centrality], "&gt;=" &amp; L41)</f>
        <v>0</v>
      </c>
      <c r="N40" s="37">
        <f>N28+($N$57-$N$2)/BinDivisor</f>
        <v>0.10557229090909084</v>
      </c>
      <c r="O40" s="38">
        <f>COUNTIF(Vertices[Eigenvector Centrality], "&gt;= " &amp; N40) - COUNTIF(Vertices[Eigenvector Centrality], "&gt;=" &amp; N41)</f>
        <v>0</v>
      </c>
      <c r="P40" s="37">
        <f>P28+($P$57-$P$2)/BinDivisor</f>
        <v>1.5407857636363631</v>
      </c>
      <c r="Q40" s="38">
        <f>COUNTIF(Vertices[PageRank], "&gt;= " &amp; P40) - COUNTIF(Vertices[PageRank], "&gt;=" &amp; P41)</f>
        <v>0</v>
      </c>
      <c r="R40" s="37">
        <f>R28+($R$57-$R$2)/BinDivisor</f>
        <v>0.47272727272727283</v>
      </c>
      <c r="S40" s="43">
        <f>COUNTIF(Vertices[Clustering Coefficient], "&gt;= " &amp; R40) - COUNTIF(Vertices[Clustering Coefficient], "&gt;=" &amp; R41)</f>
        <v>0</v>
      </c>
      <c r="T40" s="37" t="e">
        <f ca="1">T28+($T$57-$T$2)/BinDivisor</f>
        <v>#REF!</v>
      </c>
      <c r="U40" s="38" t="e">
        <f t="shared" ca="1" si="0"/>
        <v>#REF!</v>
      </c>
    </row>
    <row r="41" spans="1:21" x14ac:dyDescent="0.25">
      <c r="A41" t="s">
        <v>164</v>
      </c>
      <c r="B41" t="s">
        <v>17</v>
      </c>
      <c r="D41" s="32">
        <f t="shared" ref="D41:D56" si="10">D40+($D$57-$D$2)/BinDivisor</f>
        <v>3.9454545454545427</v>
      </c>
      <c r="E41" s="3">
        <f>COUNTIF(Vertices[Degree], "&gt;= " &amp; D41) - COUNTIF(Vertices[Degree], "&gt;=" &amp; D42)</f>
        <v>0</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11.781818181818178</v>
      </c>
      <c r="K41" s="40">
        <f>COUNTIF(Vertices[Betweenness Centrality], "&gt;= " &amp; J41) - COUNTIF(Vertices[Betweenness Centrality], "&gt;=" &amp; J42)</f>
        <v>0</v>
      </c>
      <c r="L41" s="39">
        <f t="shared" ref="L41:L56" si="14">L40+($L$57-$L$2)/BinDivisor</f>
        <v>0.51515149090909063</v>
      </c>
      <c r="M41" s="40">
        <f>COUNTIF(Vertices[Closeness Centrality], "&gt;= " &amp; L41) - COUNTIF(Vertices[Closeness Centrality], "&gt;=" &amp; L42)</f>
        <v>0</v>
      </c>
      <c r="N41" s="39">
        <f t="shared" ref="N41:N56" si="15">N40+($N$57-$N$2)/BinDivisor</f>
        <v>0.10963276363636357</v>
      </c>
      <c r="O41" s="40">
        <f>COUNTIF(Vertices[Eigenvector Centrality], "&gt;= " &amp; N41) - COUNTIF(Vertices[Eigenvector Centrality], "&gt;=" &amp; N42)</f>
        <v>0</v>
      </c>
      <c r="P41" s="39">
        <f t="shared" ref="P41:P56" si="16">P40+($P$57-$P$2)/BinDivisor</f>
        <v>1.581559254545454</v>
      </c>
      <c r="Q41" s="40">
        <f>COUNTIF(Vertices[PageRank], "&gt;= " &amp; P41) - COUNTIF(Vertices[PageRank], "&gt;=" &amp; P42)</f>
        <v>0</v>
      </c>
      <c r="R41" s="39">
        <f t="shared" ref="R41:R56" si="17">R40+($R$57-$R$2)/BinDivisor</f>
        <v>0.49090909090909102</v>
      </c>
      <c r="S41" s="44">
        <f>COUNTIF(Vertices[Clustering Coefficient], "&gt;= " &amp; R41) - COUNTIF(Vertices[Clustering Coefficient], "&gt;=" &amp; R42)</f>
        <v>0</v>
      </c>
      <c r="T41" s="39" t="e">
        <f t="shared" ref="T41:T56" ca="1" si="18">T40+($T$57-$T$2)/BinDivisor</f>
        <v>#REF!</v>
      </c>
      <c r="U41" s="40" t="e">
        <f t="shared" ca="1" si="0"/>
        <v>#REF!</v>
      </c>
    </row>
    <row r="42" spans="1:21" x14ac:dyDescent="0.25">
      <c r="A42" s="33"/>
      <c r="B42" s="33"/>
      <c r="D42" s="32">
        <f t="shared" si="10"/>
        <v>4.054545454545452</v>
      </c>
      <c r="E42" s="3">
        <f>COUNTIF(Vertices[Degree], "&gt;= " &amp; D42) - COUNTIF(Vertices[Degree], "&gt;=" &amp; D43)</f>
        <v>0</v>
      </c>
      <c r="F42" s="37">
        <f t="shared" si="11"/>
        <v>0</v>
      </c>
      <c r="G42" s="38">
        <f>COUNTIF(Vertices[In-Degree], "&gt;= " &amp; F42) - COUNTIF(Vertices[In-Degree], "&gt;=" &amp; F43)</f>
        <v>0</v>
      </c>
      <c r="H42" s="37">
        <f t="shared" si="12"/>
        <v>0</v>
      </c>
      <c r="I42" s="38">
        <f>COUNTIF(Vertices[Out-Degree], "&gt;= " &amp; H42) - COUNTIF(Vertices[Out-Degree], "&gt;=" &amp; H43)</f>
        <v>0</v>
      </c>
      <c r="J42" s="37">
        <f t="shared" si="13"/>
        <v>12.218181818181813</v>
      </c>
      <c r="K42" s="38">
        <f>COUNTIF(Vertices[Betweenness Centrality], "&gt;= " &amp; J42) - COUNTIF(Vertices[Betweenness Centrality], "&gt;=" &amp; J43)</f>
        <v>0</v>
      </c>
      <c r="L42" s="37">
        <f t="shared" si="14"/>
        <v>0.53246750909090879</v>
      </c>
      <c r="M42" s="38">
        <f>COUNTIF(Vertices[Closeness Centrality], "&gt;= " &amp; L42) - COUNTIF(Vertices[Closeness Centrality], "&gt;=" &amp; L43)</f>
        <v>0</v>
      </c>
      <c r="N42" s="37">
        <f t="shared" si="15"/>
        <v>0.11369323636363629</v>
      </c>
      <c r="O42" s="38">
        <f>COUNTIF(Vertices[Eigenvector Centrality], "&gt;= " &amp; N42) - COUNTIF(Vertices[Eigenvector Centrality], "&gt;=" &amp; N43)</f>
        <v>0</v>
      </c>
      <c r="P42" s="37">
        <f t="shared" si="16"/>
        <v>1.6223327454545449</v>
      </c>
      <c r="Q42" s="38">
        <f>COUNTIF(Vertices[PageRank], "&gt;= " &amp; P42) - COUNTIF(Vertices[PageRank], "&gt;=" &amp; P43)</f>
        <v>0</v>
      </c>
      <c r="R42" s="37">
        <f t="shared" si="17"/>
        <v>0.50909090909090915</v>
      </c>
      <c r="S42" s="43">
        <f>COUNTIF(Vertices[Clustering Coefficient], "&gt;= " &amp; R42) - COUNTIF(Vertices[Clustering Coefficient], "&gt;=" &amp; R43)</f>
        <v>0</v>
      </c>
      <c r="T42" s="37" t="e">
        <f t="shared" ca="1" si="18"/>
        <v>#REF!</v>
      </c>
      <c r="U42" s="38" t="e">
        <f t="shared" ca="1" si="0"/>
        <v>#REF!</v>
      </c>
    </row>
    <row r="43" spans="1:21" x14ac:dyDescent="0.25">
      <c r="A43" s="33"/>
      <c r="B43" s="33"/>
      <c r="D43" s="32">
        <f t="shared" si="10"/>
        <v>4.1636363636363614</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12.654545454545449</v>
      </c>
      <c r="K43" s="40">
        <f>COUNTIF(Vertices[Betweenness Centrality], "&gt;= " &amp; J43) - COUNTIF(Vertices[Betweenness Centrality], "&gt;=" &amp; J44)</f>
        <v>0</v>
      </c>
      <c r="L43" s="39">
        <f t="shared" si="14"/>
        <v>0.54978352727272695</v>
      </c>
      <c r="M43" s="40">
        <f>COUNTIF(Vertices[Closeness Centrality], "&gt;= " &amp; L43) - COUNTIF(Vertices[Closeness Centrality], "&gt;=" &amp; L44)</f>
        <v>0</v>
      </c>
      <c r="N43" s="39">
        <f t="shared" si="15"/>
        <v>0.11775370909090901</v>
      </c>
      <c r="O43" s="40">
        <f>COUNTIF(Vertices[Eigenvector Centrality], "&gt;= " &amp; N43) - COUNTIF(Vertices[Eigenvector Centrality], "&gt;=" &amp; N44)</f>
        <v>0</v>
      </c>
      <c r="P43" s="39">
        <f t="shared" si="16"/>
        <v>1.6631062363636357</v>
      </c>
      <c r="Q43" s="40">
        <f>COUNTIF(Vertices[PageRank], "&gt;= " &amp; P43) - COUNTIF(Vertices[PageRank], "&gt;=" &amp; P44)</f>
        <v>0</v>
      </c>
      <c r="R43" s="39">
        <f t="shared" si="17"/>
        <v>0.52727272727272734</v>
      </c>
      <c r="S43" s="44">
        <f>COUNTIF(Vertices[Clustering Coefficient], "&gt;= " &amp; R43) - COUNTIF(Vertices[Clustering Coefficient], "&gt;=" &amp; R44)</f>
        <v>0</v>
      </c>
      <c r="T43" s="39" t="e">
        <f t="shared" ca="1" si="18"/>
        <v>#REF!</v>
      </c>
      <c r="U43" s="40" t="e">
        <f t="shared" ca="1" si="0"/>
        <v>#REF!</v>
      </c>
    </row>
    <row r="44" spans="1:21" x14ac:dyDescent="0.25">
      <c r="A44" s="33"/>
      <c r="B44" s="33"/>
      <c r="D44" s="32">
        <f t="shared" si="10"/>
        <v>4.2727272727272707</v>
      </c>
      <c r="E44" s="3">
        <f>COUNTIF(Vertices[Degree], "&gt;= " &amp; D44) - COUNTIF(Vertices[Degree], "&gt;=" &amp; D45)</f>
        <v>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13.090909090909085</v>
      </c>
      <c r="K44" s="38">
        <f>COUNTIF(Vertices[Betweenness Centrality], "&gt;= " &amp; J44) - COUNTIF(Vertices[Betweenness Centrality], "&gt;=" &amp; J45)</f>
        <v>0</v>
      </c>
      <c r="L44" s="37">
        <f t="shared" si="14"/>
        <v>0.56709954545454511</v>
      </c>
      <c r="M44" s="38">
        <f>COUNTIF(Vertices[Closeness Centrality], "&gt;= " &amp; L44) - COUNTIF(Vertices[Closeness Centrality], "&gt;=" &amp; L45)</f>
        <v>0</v>
      </c>
      <c r="N44" s="37">
        <f t="shared" si="15"/>
        <v>0.12181418181818174</v>
      </c>
      <c r="O44" s="38">
        <f>COUNTIF(Vertices[Eigenvector Centrality], "&gt;= " &amp; N44) - COUNTIF(Vertices[Eigenvector Centrality], "&gt;=" &amp; N45)</f>
        <v>0</v>
      </c>
      <c r="P44" s="37">
        <f t="shared" si="16"/>
        <v>1.7038797272727266</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4.3818181818181801</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13.52727272727272</v>
      </c>
      <c r="K45" s="40">
        <f>COUNTIF(Vertices[Betweenness Centrality], "&gt;= " &amp; J45) - COUNTIF(Vertices[Betweenness Centrality], "&gt;=" &amp; J46)</f>
        <v>0</v>
      </c>
      <c r="L45" s="39">
        <f t="shared" si="14"/>
        <v>0.58441556363636327</v>
      </c>
      <c r="M45" s="40">
        <f>COUNTIF(Vertices[Closeness Centrality], "&gt;= " &amp; L45) - COUNTIF(Vertices[Closeness Centrality], "&gt;=" &amp; L46)</f>
        <v>0</v>
      </c>
      <c r="N45" s="39">
        <f t="shared" si="15"/>
        <v>0.12587465454545446</v>
      </c>
      <c r="O45" s="40">
        <f>COUNTIF(Vertices[Eigenvector Centrality], "&gt;= " &amp; N45) - COUNTIF(Vertices[Eigenvector Centrality], "&gt;=" &amp; N46)</f>
        <v>0</v>
      </c>
      <c r="P45" s="39">
        <f t="shared" si="16"/>
        <v>1.7446532181818175</v>
      </c>
      <c r="Q45" s="40">
        <f>COUNTIF(Vertices[PageRank], "&gt;= " &amp; P45) - COUNTIF(Vertices[PageRank], "&gt;=" &amp; P46)</f>
        <v>0</v>
      </c>
      <c r="R45" s="39">
        <f t="shared" si="17"/>
        <v>0.56363636363636371</v>
      </c>
      <c r="S45" s="44">
        <f>COUNTIF(Vertices[Clustering Coefficient], "&gt;= " &amp; R45) - COUNTIF(Vertices[Clustering Coefficient], "&gt;=" &amp; R46)</f>
        <v>0</v>
      </c>
      <c r="T45" s="39" t="e">
        <f t="shared" ca="1" si="18"/>
        <v>#REF!</v>
      </c>
      <c r="U45" s="40" t="e">
        <f t="shared" ca="1" si="0"/>
        <v>#REF!</v>
      </c>
    </row>
    <row r="46" spans="1:21" x14ac:dyDescent="0.25">
      <c r="D46" s="32">
        <f t="shared" si="10"/>
        <v>4.4909090909090894</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13.963636363636356</v>
      </c>
      <c r="K46" s="38">
        <f>COUNTIF(Vertices[Betweenness Centrality], "&gt;= " &amp; J46) - COUNTIF(Vertices[Betweenness Centrality], "&gt;=" &amp; J47)</f>
        <v>0</v>
      </c>
      <c r="L46" s="37">
        <f t="shared" si="14"/>
        <v>0.60173158181818143</v>
      </c>
      <c r="M46" s="38">
        <f>COUNTIF(Vertices[Closeness Centrality], "&gt;= " &amp; L46) - COUNTIF(Vertices[Closeness Centrality], "&gt;=" &amp; L47)</f>
        <v>0</v>
      </c>
      <c r="N46" s="37">
        <f t="shared" si="15"/>
        <v>0.12993512727272719</v>
      </c>
      <c r="O46" s="38">
        <f>COUNTIF(Vertices[Eigenvector Centrality], "&gt;= " &amp; N46) - COUNTIF(Vertices[Eigenvector Centrality], "&gt;=" &amp; N47)</f>
        <v>0</v>
      </c>
      <c r="P46" s="37">
        <f t="shared" si="16"/>
        <v>1.7854267090909084</v>
      </c>
      <c r="Q46" s="38">
        <f>COUNTIF(Vertices[PageRank], "&gt;= " &amp; P46) - COUNTIF(Vertices[PageRank], "&gt;=" &amp; P47)</f>
        <v>0</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4.5999999999999988</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14.399999999999991</v>
      </c>
      <c r="K47" s="40">
        <f>COUNTIF(Vertices[Betweenness Centrality], "&gt;= " &amp; J47) - COUNTIF(Vertices[Betweenness Centrality], "&gt;=" &amp; J48)</f>
        <v>0</v>
      </c>
      <c r="L47" s="39">
        <f t="shared" si="14"/>
        <v>0.61904759999999959</v>
      </c>
      <c r="M47" s="40">
        <f>COUNTIF(Vertices[Closeness Centrality], "&gt;= " &amp; L47) - COUNTIF(Vertices[Closeness Centrality], "&gt;=" &amp; L48)</f>
        <v>0</v>
      </c>
      <c r="N47" s="39">
        <f t="shared" si="15"/>
        <v>0.13399559999999991</v>
      </c>
      <c r="O47" s="40">
        <f>COUNTIF(Vertices[Eigenvector Centrality], "&gt;= " &amp; N47) - COUNTIF(Vertices[Eigenvector Centrality], "&gt;=" &amp; N48)</f>
        <v>0</v>
      </c>
      <c r="P47" s="39">
        <f t="shared" si="16"/>
        <v>1.8262001999999993</v>
      </c>
      <c r="Q47" s="40">
        <f>COUNTIF(Vertices[PageRank], "&gt;= " &amp; P47) - COUNTIF(Vertices[PageRank], "&gt;=" &amp; P48)</f>
        <v>0</v>
      </c>
      <c r="R47" s="39">
        <f t="shared" si="17"/>
        <v>0.60000000000000009</v>
      </c>
      <c r="S47" s="44">
        <f>COUNTIF(Vertices[Clustering Coefficient], "&gt;= " &amp; R47) - COUNTIF(Vertices[Clustering Coefficient], "&gt;=" &amp; R48)</f>
        <v>0</v>
      </c>
      <c r="T47" s="39" t="e">
        <f t="shared" ca="1" si="18"/>
        <v>#REF!</v>
      </c>
      <c r="U47" s="40" t="e">
        <f t="shared" ca="1" si="0"/>
        <v>#REF!</v>
      </c>
    </row>
    <row r="48" spans="1:21" x14ac:dyDescent="0.25">
      <c r="D48" s="32">
        <f t="shared" si="10"/>
        <v>4.7090909090909081</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14.836363636363627</v>
      </c>
      <c r="K48" s="38">
        <f>COUNTIF(Vertices[Betweenness Centrality], "&gt;= " &amp; J48) - COUNTIF(Vertices[Betweenness Centrality], "&gt;=" &amp; J49)</f>
        <v>0</v>
      </c>
      <c r="L48" s="37">
        <f t="shared" si="14"/>
        <v>0.63636361818181775</v>
      </c>
      <c r="M48" s="38">
        <f>COUNTIF(Vertices[Closeness Centrality], "&gt;= " &amp; L48) - COUNTIF(Vertices[Closeness Centrality], "&gt;=" &amp; L49)</f>
        <v>0</v>
      </c>
      <c r="N48" s="37">
        <f t="shared" si="15"/>
        <v>0.13805607272727263</v>
      </c>
      <c r="O48" s="38">
        <f>COUNTIF(Vertices[Eigenvector Centrality], "&gt;= " &amp; N48) - COUNTIF(Vertices[Eigenvector Centrality], "&gt;=" &amp; N49)</f>
        <v>0</v>
      </c>
      <c r="P48" s="37">
        <f t="shared" si="16"/>
        <v>1.8669736909090902</v>
      </c>
      <c r="Q48" s="38">
        <f>COUNTIF(Vertices[PageRank], "&gt;= " &amp; P48) - COUNTIF(Vertices[PageRank], "&gt;=" &amp; P49)</f>
        <v>0</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4.8181818181818175</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15.272727272727263</v>
      </c>
      <c r="K49" s="40">
        <f>COUNTIF(Vertices[Betweenness Centrality], "&gt;= " &amp; J49) - COUNTIF(Vertices[Betweenness Centrality], "&gt;=" &amp; J50)</f>
        <v>0</v>
      </c>
      <c r="L49" s="39">
        <f t="shared" si="14"/>
        <v>0.65367963636363591</v>
      </c>
      <c r="M49" s="40">
        <f>COUNTIF(Vertices[Closeness Centrality], "&gt;= " &amp; L49) - COUNTIF(Vertices[Closeness Centrality], "&gt;=" &amp; L50)</f>
        <v>0</v>
      </c>
      <c r="N49" s="39">
        <f t="shared" si="15"/>
        <v>0.14211654545454536</v>
      </c>
      <c r="O49" s="40">
        <f>COUNTIF(Vertices[Eigenvector Centrality], "&gt;= " &amp; N49) - COUNTIF(Vertices[Eigenvector Centrality], "&gt;=" &amp; N50)</f>
        <v>0</v>
      </c>
      <c r="P49" s="39">
        <f t="shared" si="16"/>
        <v>1.907747181818181</v>
      </c>
      <c r="Q49" s="40">
        <f>COUNTIF(Vertices[PageRank], "&gt;= " &amp; P49) - COUNTIF(Vertices[PageRank], "&gt;=" &amp; P50)</f>
        <v>0</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4.9272727272727268</v>
      </c>
      <c r="E50" s="3">
        <f>COUNTIF(Vertices[Degree], "&gt;= " &amp; D50) - COUNTIF(Vertices[Degree], "&gt;=" &amp; D51)</f>
        <v>0</v>
      </c>
      <c r="F50" s="37">
        <f t="shared" si="11"/>
        <v>0</v>
      </c>
      <c r="G50" s="38">
        <f>COUNTIF(Vertices[In-Degree], "&gt;= " &amp; F50) - COUNTIF(Vertices[In-Degree], "&gt;=" &amp; F51)</f>
        <v>0</v>
      </c>
      <c r="H50" s="37">
        <f t="shared" si="12"/>
        <v>0</v>
      </c>
      <c r="I50" s="38">
        <f>COUNTIF(Vertices[Out-Degree], "&gt;= " &amp; H50) - COUNTIF(Vertices[Out-Degree], "&gt;=" &amp; H51)</f>
        <v>0</v>
      </c>
      <c r="J50" s="37">
        <f t="shared" si="13"/>
        <v>15.709090909090898</v>
      </c>
      <c r="K50" s="38">
        <f>COUNTIF(Vertices[Betweenness Centrality], "&gt;= " &amp; J50) - COUNTIF(Vertices[Betweenness Centrality], "&gt;=" &amp; J51)</f>
        <v>0</v>
      </c>
      <c r="L50" s="37">
        <f t="shared" si="14"/>
        <v>0.67099565454545407</v>
      </c>
      <c r="M50" s="38">
        <f>COUNTIF(Vertices[Closeness Centrality], "&gt;= " &amp; L50) - COUNTIF(Vertices[Closeness Centrality], "&gt;=" &amp; L51)</f>
        <v>0</v>
      </c>
      <c r="N50" s="37">
        <f t="shared" si="15"/>
        <v>0.14617701818181808</v>
      </c>
      <c r="O50" s="38">
        <f>COUNTIF(Vertices[Eigenvector Centrality], "&gt;= " &amp; N50) - COUNTIF(Vertices[Eigenvector Centrality], "&gt;=" &amp; N51)</f>
        <v>0</v>
      </c>
      <c r="P50" s="37">
        <f t="shared" si="16"/>
        <v>1.9485206727272719</v>
      </c>
      <c r="Q50" s="38">
        <f>COUNTIF(Vertices[PageRank], "&gt;= " &amp; P50) - COUNTIF(Vertices[PageRank], "&gt;=" &amp; P51)</f>
        <v>0</v>
      </c>
      <c r="R50" s="37">
        <f t="shared" si="17"/>
        <v>0.65454545454545465</v>
      </c>
      <c r="S50" s="43">
        <f>COUNTIF(Vertices[Clustering Coefficient], "&gt;= " &amp; R50) - COUNTIF(Vertices[Clustering Coefficient], "&gt;=" &amp; R51)</f>
        <v>0</v>
      </c>
      <c r="T50" s="37" t="e">
        <f t="shared" ca="1" si="18"/>
        <v>#REF!</v>
      </c>
      <c r="U50" s="38" t="e">
        <f t="shared" ca="1" si="0"/>
        <v>#REF!</v>
      </c>
    </row>
    <row r="51" spans="1:21" x14ac:dyDescent="0.25">
      <c r="D51" s="32">
        <f t="shared" si="10"/>
        <v>5.0363636363636362</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16.145454545454534</v>
      </c>
      <c r="K51" s="40">
        <f>COUNTIF(Vertices[Betweenness Centrality], "&gt;= " &amp; J51) - COUNTIF(Vertices[Betweenness Centrality], "&gt;=" &amp; J52)</f>
        <v>0</v>
      </c>
      <c r="L51" s="39">
        <f t="shared" si="14"/>
        <v>0.68831167272727223</v>
      </c>
      <c r="M51" s="40">
        <f>COUNTIF(Vertices[Closeness Centrality], "&gt;= " &amp; L51) - COUNTIF(Vertices[Closeness Centrality], "&gt;=" &amp; L52)</f>
        <v>0</v>
      </c>
      <c r="N51" s="39">
        <f t="shared" si="15"/>
        <v>0.1502374909090908</v>
      </c>
      <c r="O51" s="40">
        <f>COUNTIF(Vertices[Eigenvector Centrality], "&gt;= " &amp; N51) - COUNTIF(Vertices[Eigenvector Centrality], "&gt;=" &amp; N52)</f>
        <v>0</v>
      </c>
      <c r="P51" s="39">
        <f t="shared" si="16"/>
        <v>1.9892941636363628</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5.1454545454545455</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16.581818181818171</v>
      </c>
      <c r="K52" s="38">
        <f>COUNTIF(Vertices[Betweenness Centrality], "&gt;= " &amp; J52) - COUNTIF(Vertices[Betweenness Centrality], "&gt;=" &amp; J53)</f>
        <v>0</v>
      </c>
      <c r="L52" s="37">
        <f t="shared" si="14"/>
        <v>0.70562769090909039</v>
      </c>
      <c r="M52" s="38">
        <f>COUNTIF(Vertices[Closeness Centrality], "&gt;= " &amp; L52) - COUNTIF(Vertices[Closeness Centrality], "&gt;=" &amp; L53)</f>
        <v>0</v>
      </c>
      <c r="N52" s="37">
        <f t="shared" si="15"/>
        <v>0.15429796363636353</v>
      </c>
      <c r="O52" s="38">
        <f>COUNTIF(Vertices[Eigenvector Centrality], "&gt;= " &amp; N52) - COUNTIF(Vertices[Eigenvector Centrality], "&gt;=" &amp; N53)</f>
        <v>0</v>
      </c>
      <c r="P52" s="37">
        <f t="shared" si="16"/>
        <v>2.0300676545454537</v>
      </c>
      <c r="Q52" s="38">
        <f>COUNTIF(Vertices[PageRank], "&gt;= " &amp; P52) - COUNTIF(Vertices[PageRank], "&gt;=" &amp; P53)</f>
        <v>0</v>
      </c>
      <c r="R52" s="37">
        <f t="shared" si="17"/>
        <v>0.69090909090909103</v>
      </c>
      <c r="S52" s="43">
        <f>COUNTIF(Vertices[Clustering Coefficient], "&gt;= " &amp; R52) - COUNTIF(Vertices[Clustering Coefficient], "&gt;=" &amp; R53)</f>
        <v>0</v>
      </c>
      <c r="T52" s="37" t="e">
        <f t="shared" ca="1" si="18"/>
        <v>#REF!</v>
      </c>
      <c r="U52" s="38" t="e">
        <f t="shared" ca="1" si="0"/>
        <v>#REF!</v>
      </c>
    </row>
    <row r="53" spans="1:21" x14ac:dyDescent="0.25">
      <c r="D53" s="32">
        <f t="shared" si="10"/>
        <v>5.2545454545454549</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17.018181818181809</v>
      </c>
      <c r="K53" s="40">
        <f>COUNTIF(Vertices[Betweenness Centrality], "&gt;= " &amp; J53) - COUNTIF(Vertices[Betweenness Centrality], "&gt;=" &amp; J54)</f>
        <v>0</v>
      </c>
      <c r="L53" s="39">
        <f t="shared" si="14"/>
        <v>0.72294370909090855</v>
      </c>
      <c r="M53" s="40">
        <f>COUNTIF(Vertices[Closeness Centrality], "&gt;= " &amp; L53) - COUNTIF(Vertices[Closeness Centrality], "&gt;=" &amp; L54)</f>
        <v>0</v>
      </c>
      <c r="N53" s="39">
        <f t="shared" si="15"/>
        <v>0.15835843636363625</v>
      </c>
      <c r="O53" s="40">
        <f>COUNTIF(Vertices[Eigenvector Centrality], "&gt;= " &amp; N53) - COUNTIF(Vertices[Eigenvector Centrality], "&gt;=" &amp; N54)</f>
        <v>3</v>
      </c>
      <c r="P53" s="39">
        <f t="shared" si="16"/>
        <v>2.0708411454545446</v>
      </c>
      <c r="Q53" s="40">
        <f>COUNTIF(Vertices[PageRank], "&gt;= " &amp; P53) - COUNTIF(Vertices[PageRank], "&gt;=" &amp; P54)</f>
        <v>0</v>
      </c>
      <c r="R53" s="39">
        <f t="shared" si="17"/>
        <v>0.70909090909090922</v>
      </c>
      <c r="S53" s="44">
        <f>COUNTIF(Vertices[Clustering Coefficient], "&gt;= " &amp; R53) - COUNTIF(Vertices[Clustering Coefficient], "&gt;=" &amp; R54)</f>
        <v>0</v>
      </c>
      <c r="T53" s="39" t="e">
        <f t="shared" ca="1" si="18"/>
        <v>#REF!</v>
      </c>
      <c r="U53" s="40" t="e">
        <f t="shared" ca="1" si="0"/>
        <v>#REF!</v>
      </c>
    </row>
    <row r="54" spans="1:21" x14ac:dyDescent="0.25">
      <c r="D54" s="32">
        <f t="shared" si="10"/>
        <v>5.3636363636363642</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17.454545454545446</v>
      </c>
      <c r="K54" s="38">
        <f>COUNTIF(Vertices[Betweenness Centrality], "&gt;= " &amp; J54) - COUNTIF(Vertices[Betweenness Centrality], "&gt;=" &amp; J55)</f>
        <v>0</v>
      </c>
      <c r="L54" s="37">
        <f t="shared" si="14"/>
        <v>0.74025972727272671</v>
      </c>
      <c r="M54" s="38">
        <f>COUNTIF(Vertices[Closeness Centrality], "&gt;= " &amp; L54) - COUNTIF(Vertices[Closeness Centrality], "&gt;=" &amp; L55)</f>
        <v>0</v>
      </c>
      <c r="N54" s="37">
        <f t="shared" si="15"/>
        <v>0.16241890909090897</v>
      </c>
      <c r="O54" s="38">
        <f>COUNTIF(Vertices[Eigenvector Centrality], "&gt;= " &amp; N54) - COUNTIF(Vertices[Eigenvector Centrality], "&gt;=" &amp; N55)</f>
        <v>0</v>
      </c>
      <c r="P54" s="37">
        <f t="shared" si="16"/>
        <v>2.1116146363636354</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1</v>
      </c>
      <c r="D55" s="32">
        <f t="shared" si="10"/>
        <v>5.4727272727272736</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17.890909090909084</v>
      </c>
      <c r="K55" s="40">
        <f>COUNTIF(Vertices[Betweenness Centrality], "&gt;= " &amp; J55) - COUNTIF(Vertices[Betweenness Centrality], "&gt;=" &amp; J56)</f>
        <v>0</v>
      </c>
      <c r="L55" s="39">
        <f t="shared" si="14"/>
        <v>0.75757574545454487</v>
      </c>
      <c r="M55" s="40">
        <f>COUNTIF(Vertices[Closeness Centrality], "&gt;= " &amp; L55) - COUNTIF(Vertices[Closeness Centrality], "&gt;=" &amp; L56)</f>
        <v>0</v>
      </c>
      <c r="N55" s="39">
        <f t="shared" si="15"/>
        <v>0.1664793818181817</v>
      </c>
      <c r="O55" s="40">
        <f>COUNTIF(Vertices[Eigenvector Centrality], "&gt;= " &amp; N55) - COUNTIF(Vertices[Eigenvector Centrality], "&gt;=" &amp; N56)</f>
        <v>0</v>
      </c>
      <c r="P55" s="39">
        <f t="shared" si="16"/>
        <v>2.1523881272727263</v>
      </c>
      <c r="Q55" s="40">
        <f>COUNTIF(Vertices[PageRank], "&gt;= " &amp; P55) - COUNTIF(Vertices[PageRank], "&gt;=" &amp; P56)</f>
        <v>0</v>
      </c>
      <c r="R55" s="39">
        <f t="shared" si="17"/>
        <v>0.74545454545454559</v>
      </c>
      <c r="S55" s="44">
        <f>COUNTIF(Vertices[Clustering Coefficient], "&gt;= " &amp; R55) - COUNTIF(Vertices[Clustering Coefficient], "&gt;=" &amp; R56)</f>
        <v>0</v>
      </c>
      <c r="T55" s="39" t="e">
        <f t="shared" ca="1" si="18"/>
        <v>#REF!</v>
      </c>
      <c r="U55" s="40" t="e">
        <f t="shared" ca="1" si="0"/>
        <v>#REF!</v>
      </c>
    </row>
    <row r="56" spans="1:21" x14ac:dyDescent="0.25">
      <c r="A56" s="33" t="s">
        <v>83</v>
      </c>
      <c r="B56" s="46">
        <f>IF(COUNT(Vertices[Degree])&gt;0, D57, NoMetricMessage)</f>
        <v>7</v>
      </c>
      <c r="D56" s="32">
        <f t="shared" si="10"/>
        <v>5.5818181818181829</v>
      </c>
      <c r="E56" s="3">
        <f>COUNTIF(Vertices[Degree], "&gt;= " &amp; D56) - COUNTIF(Vertices[Degree], "&gt;=" &amp; D57)</f>
        <v>0</v>
      </c>
      <c r="F56" s="37">
        <f t="shared" si="11"/>
        <v>0</v>
      </c>
      <c r="G56" s="38">
        <f>COUNTIF(Vertices[In-Degree], "&gt;= " &amp; F56) - COUNTIF(Vertices[In-Degree], "&gt;=" &amp; F57)</f>
        <v>0</v>
      </c>
      <c r="H56" s="37">
        <f t="shared" si="12"/>
        <v>0</v>
      </c>
      <c r="I56" s="38">
        <f>COUNTIF(Vertices[Out-Degree], "&gt;= " &amp; H56) - COUNTIF(Vertices[Out-Degree], "&gt;=" &amp; H57)</f>
        <v>0</v>
      </c>
      <c r="J56" s="37">
        <f t="shared" si="13"/>
        <v>18.327272727272721</v>
      </c>
      <c r="K56" s="38">
        <f>COUNTIF(Vertices[Betweenness Centrality], "&gt;= " &amp; J56) - COUNTIF(Vertices[Betweenness Centrality], "&gt;=" &amp; J57)</f>
        <v>0</v>
      </c>
      <c r="L56" s="37">
        <f t="shared" si="14"/>
        <v>0.77489176363636303</v>
      </c>
      <c r="M56" s="38">
        <f>COUNTIF(Vertices[Closeness Centrality], "&gt;= " &amp; L56) - COUNTIF(Vertices[Closeness Centrality], "&gt;=" &amp; L57)</f>
        <v>0</v>
      </c>
      <c r="N56" s="37">
        <f t="shared" si="15"/>
        <v>0.17053985454545442</v>
      </c>
      <c r="O56" s="38">
        <f>COUNTIF(Vertices[Eigenvector Centrality], "&gt;= " &amp; N56) - COUNTIF(Vertices[Eigenvector Centrality], "&gt;=" &amp; N57)</f>
        <v>0</v>
      </c>
      <c r="P56" s="37">
        <f t="shared" si="16"/>
        <v>2.1931616181818172</v>
      </c>
      <c r="Q56" s="38">
        <f>COUNTIF(Vertices[PageRank], "&gt;= " &amp; P56) - COUNTIF(Vertices[PageRank], "&gt;=" &amp; P57)</f>
        <v>0</v>
      </c>
      <c r="R56" s="37">
        <f t="shared" si="17"/>
        <v>0.76363636363636378</v>
      </c>
      <c r="S56" s="43">
        <f>COUNTIF(Vertices[Clustering Coefficient], "&gt;= " &amp; R56) - COUNTIF(Vertices[Clustering Coefficient], "&gt;=" &amp; R57)</f>
        <v>0</v>
      </c>
      <c r="T56" s="37" t="e">
        <f t="shared" ca="1" si="18"/>
        <v>#REF!</v>
      </c>
      <c r="U56" s="38" t="e">
        <f t="shared" ca="1" si="0"/>
        <v>#REF!</v>
      </c>
    </row>
    <row r="57" spans="1:21" x14ac:dyDescent="0.25">
      <c r="A57" s="33" t="s">
        <v>84</v>
      </c>
      <c r="B57" s="47">
        <f>IFERROR(AVERAGE(Vertices[Degree]),NoMetricMessage)</f>
        <v>1.8823529411764706</v>
      </c>
      <c r="D57" s="32">
        <f>MAX(Vertices[Degree])</f>
        <v>7</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24</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4</v>
      </c>
      <c r="N57" s="41">
        <f>MAX(Vertices[Eigenvector Centrality])</f>
        <v>0.223326</v>
      </c>
      <c r="O57" s="42">
        <f>COUNTIF(Vertices[Eigenvector Centrality], "&gt;= " &amp; N57) - COUNTIF(Vertices[Eigenvector Centrality], "&gt;=" &amp; N58)</f>
        <v>1</v>
      </c>
      <c r="P57" s="41">
        <f>MAX(Vertices[PageRank])</f>
        <v>2.723217</v>
      </c>
      <c r="Q57" s="42">
        <f>COUNTIF(Vertices[PageRank], "&gt;= " &amp; P57) - COUNTIF(Vertices[PageRank], "&gt;=" &amp; P58)</f>
        <v>1</v>
      </c>
      <c r="R57" s="41">
        <f>MAX(Vertices[Clustering Coefficient])</f>
        <v>1</v>
      </c>
      <c r="S57" s="45">
        <f>COUNTIF(Vertices[Clustering Coefficient], "&gt;= " &amp; R57) - COUNTIF(Vertices[Clustering Coefficient], "&gt;=" &amp; R58)</f>
        <v>3</v>
      </c>
      <c r="T57" s="41" t="e">
        <f ca="1">MAX(INDIRECT(DynamicFilterSourceColumnRange))</f>
        <v>#REF!</v>
      </c>
      <c r="U57" s="42" t="e">
        <f t="shared" ca="1" si="0"/>
        <v>#REF!</v>
      </c>
    </row>
    <row r="58" spans="1:21" x14ac:dyDescent="0.25">
      <c r="A58" s="33" t="s">
        <v>85</v>
      </c>
      <c r="B58" s="47">
        <f>IFERROR(MEDIAN(Vertices[Degree]),NoMetricMessage)</f>
        <v>1</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24</v>
      </c>
    </row>
    <row r="99" spans="1:2" x14ac:dyDescent="0.25">
      <c r="A99" s="33" t="s">
        <v>103</v>
      </c>
      <c r="B99" s="47">
        <f>IFERROR(AVERAGE(Vertices[Betweenness Centrality]),NoMetricMessage)</f>
        <v>2.0588235294117645</v>
      </c>
    </row>
    <row r="100" spans="1:2" x14ac:dyDescent="0.25">
      <c r="A100" s="33" t="s">
        <v>104</v>
      </c>
      <c r="B100" s="47">
        <f>IFERROR(MEDIAN(Vertices[Betweenness Centrality]),NoMetricMessage)</f>
        <v>0</v>
      </c>
    </row>
    <row r="111" spans="1:2" x14ac:dyDescent="0.25">
      <c r="A111" s="33" t="s">
        <v>107</v>
      </c>
      <c r="B111" s="47">
        <f>IF(COUNT(Vertices[Closeness Centrality])&gt;0, L2, NoMetricMessage)</f>
        <v>4.7619000000000002E-2</v>
      </c>
    </row>
    <row r="112" spans="1:2" x14ac:dyDescent="0.25">
      <c r="A112" s="33" t="s">
        <v>108</v>
      </c>
      <c r="B112" s="47">
        <f>IF(COUNT(Vertices[Closeness Centrality])&gt;0, L57, NoMetricMessage)</f>
        <v>1</v>
      </c>
    </row>
    <row r="113" spans="1:2" x14ac:dyDescent="0.25">
      <c r="A113" s="33" t="s">
        <v>109</v>
      </c>
      <c r="B113" s="47">
        <f>IFERROR(AVERAGE(Vertices[Closeness Centrality]),NoMetricMessage)</f>
        <v>0.32148705882352951</v>
      </c>
    </row>
    <row r="114" spans="1:2" x14ac:dyDescent="0.25">
      <c r="A114" s="33" t="s">
        <v>110</v>
      </c>
      <c r="B114" s="47">
        <f>IFERROR(MEDIAN(Vertices[Closeness Centrality]),NoMetricMessage)</f>
        <v>0.111111</v>
      </c>
    </row>
    <row r="125" spans="1:2" x14ac:dyDescent="0.25">
      <c r="A125" s="33" t="s">
        <v>113</v>
      </c>
      <c r="B125" s="47">
        <f>IF(COUNT(Vertices[Eigenvector Centrality])&gt;0, N2, NoMetricMessage)</f>
        <v>0</v>
      </c>
    </row>
    <row r="126" spans="1:2" x14ac:dyDescent="0.25">
      <c r="A126" s="33" t="s">
        <v>114</v>
      </c>
      <c r="B126" s="47">
        <f>IF(COUNT(Vertices[Eigenvector Centrality])&gt;0, N57, NoMetricMessage)</f>
        <v>0.223326</v>
      </c>
    </row>
    <row r="127" spans="1:2" x14ac:dyDescent="0.25">
      <c r="A127" s="33" t="s">
        <v>115</v>
      </c>
      <c r="B127" s="47">
        <f>IFERROR(AVERAGE(Vertices[Eigenvector Centrality]),NoMetricMessage)</f>
        <v>5.8823411764705867E-2</v>
      </c>
    </row>
    <row r="128" spans="1:2" x14ac:dyDescent="0.25">
      <c r="A128" s="33" t="s">
        <v>116</v>
      </c>
      <c r="B128" s="47">
        <f>IFERROR(MEDIAN(Vertices[Eigenvector Centrality]),NoMetricMessage)</f>
        <v>2.1395999999999998E-2</v>
      </c>
    </row>
    <row r="139" spans="1:2" x14ac:dyDescent="0.25">
      <c r="A139" s="33" t="s">
        <v>141</v>
      </c>
      <c r="B139" s="47">
        <f>IF(COUNT(Vertices[PageRank])&gt;0, P2, NoMetricMessage)</f>
        <v>0.48067500000000002</v>
      </c>
    </row>
    <row r="140" spans="1:2" x14ac:dyDescent="0.25">
      <c r="A140" s="33" t="s">
        <v>142</v>
      </c>
      <c r="B140" s="47">
        <f>IF(COUNT(Vertices[PageRank])&gt;0, P57, NoMetricMessage)</f>
        <v>2.723217</v>
      </c>
    </row>
    <row r="141" spans="1:2" x14ac:dyDescent="0.25">
      <c r="A141" s="33" t="s">
        <v>143</v>
      </c>
      <c r="B141" s="47">
        <f>IFERROR(AVERAGE(Vertices[PageRank]),NoMetricMessage)</f>
        <v>0.9999712941176474</v>
      </c>
    </row>
    <row r="142" spans="1:2" x14ac:dyDescent="0.25">
      <c r="A142" s="33" t="s">
        <v>144</v>
      </c>
      <c r="B142" s="47">
        <f>IFERROR(MEDIAN(Vertices[PageRank]),NoMetricMessage)</f>
        <v>0.99997100000000005</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0.18487394957983194</v>
      </c>
    </row>
    <row r="156" spans="1:2" x14ac:dyDescent="0.25">
      <c r="A156" s="33" t="s">
        <v>122</v>
      </c>
      <c r="B156" s="47">
        <f>IFERROR(MEDIAN(Vertices[Clustering Coefficient]),NoMetricMessage)</f>
        <v>0</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218</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176</v>
      </c>
      <c r="K7" t="s">
        <v>199</v>
      </c>
    </row>
    <row r="8" spans="1:18" x14ac:dyDescent="0.25">
      <c r="A8"/>
      <c r="B8">
        <v>2</v>
      </c>
      <c r="C8">
        <v>2</v>
      </c>
      <c r="D8" t="s">
        <v>62</v>
      </c>
      <c r="E8" t="s">
        <v>62</v>
      </c>
      <c r="H8" t="s">
        <v>74</v>
      </c>
      <c r="J8" t="s">
        <v>177</v>
      </c>
      <c r="K8" t="s">
        <v>217</v>
      </c>
    </row>
    <row r="9" spans="1:18" ht="409.5" x14ac:dyDescent="0.25">
      <c r="A9"/>
      <c r="B9">
        <v>3</v>
      </c>
      <c r="C9">
        <v>4</v>
      </c>
      <c r="D9" t="s">
        <v>63</v>
      </c>
      <c r="E9" t="s">
        <v>63</v>
      </c>
      <c r="H9" t="s">
        <v>75</v>
      </c>
      <c r="J9" t="s">
        <v>178</v>
      </c>
      <c r="K9" s="13" t="s">
        <v>219</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43</v>
      </c>
    </row>
    <row r="2" spans="1:3" ht="15" customHeight="1" x14ac:dyDescent="0.25">
      <c r="A2" s="13" t="s">
        <v>196</v>
      </c>
      <c r="B2" s="115" t="s">
        <v>197</v>
      </c>
      <c r="C2" s="116" t="s">
        <v>198</v>
      </c>
    </row>
    <row r="3" spans="1:3" x14ac:dyDescent="0.25">
      <c r="A3" s="114" t="s">
        <v>184</v>
      </c>
      <c r="B3" s="114" t="s">
        <v>184</v>
      </c>
      <c r="C3" s="34">
        <v>11</v>
      </c>
    </row>
    <row r="4" spans="1:3" x14ac:dyDescent="0.25">
      <c r="A4" s="127" t="s">
        <v>185</v>
      </c>
      <c r="B4" s="126" t="s">
        <v>185</v>
      </c>
      <c r="C4" s="34">
        <v>3</v>
      </c>
    </row>
    <row r="5" spans="1:3" x14ac:dyDescent="0.25">
      <c r="A5" s="127" t="s">
        <v>186</v>
      </c>
      <c r="B5" s="126" t="s">
        <v>186</v>
      </c>
      <c r="C5" s="34">
        <v>1</v>
      </c>
    </row>
    <row r="6" spans="1:3" x14ac:dyDescent="0.25">
      <c r="A6" s="127" t="s">
        <v>187</v>
      </c>
      <c r="B6" s="126" t="s">
        <v>187</v>
      </c>
      <c r="C6" s="34">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2019-06-22T19:50:40Z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